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65521" windowWidth="15015" windowHeight="8580" tabRatio="917" activeTab="0"/>
  </bookViews>
  <sheets>
    <sheet name="Contents" sheetId="1" r:id="rId1"/>
    <sheet name="Demography" sheetId="2" r:id="rId2"/>
    <sheet name="Visit 1" sheetId="3" r:id="rId3"/>
    <sheet name="Visit 1 IMQ" sheetId="4" r:id="rId4"/>
    <sheet name=" Visit 1 VFQ" sheetId="5" r:id="rId5"/>
    <sheet name="Visit 2" sheetId="6" r:id="rId6"/>
    <sheet name="Visit 3" sheetId="7" r:id="rId7"/>
    <sheet name="Visit 4" sheetId="8" r:id="rId8"/>
    <sheet name="Visit 5" sheetId="9" r:id="rId9"/>
    <sheet name="Visit 5 IMQ" sheetId="10" r:id="rId10"/>
    <sheet name=" Visit 5 VFQ " sheetId="11" r:id="rId11"/>
    <sheet name="VF Change" sheetId="12" r:id="rId12"/>
    <sheet name="LT Q'aire" sheetId="13" r:id="rId13"/>
    <sheet name="Wearing Times" sheetId="14" r:id="rId14"/>
  </sheets>
  <definedNames/>
  <calcPr fullCalcOnLoad="1"/>
</workbook>
</file>

<file path=xl/comments3.xml><?xml version="1.0" encoding="utf-8"?>
<comments xmlns="http://schemas.openxmlformats.org/spreadsheetml/2006/main">
  <authors>
    <author>eli peli</author>
  </authors>
  <commentList>
    <comment ref="AE5" authorId="0">
      <text>
        <r>
          <rPr>
            <sz val="9"/>
            <rFont val="Geneva"/>
            <family val="0"/>
          </rPr>
          <t>Glasses were prescribed before ocular dominance was the diagnostic criteria.
DWS</t>
        </r>
      </text>
    </comment>
    <comment ref="AB1" authorId="0">
      <text>
        <r>
          <rPr>
            <b/>
            <sz val="9"/>
            <rFont val="Geneva"/>
            <family val="0"/>
          </rPr>
          <t xml:space="preserve">
line is left = ESO (-)
line is right = EXO (+)
</t>
        </r>
        <r>
          <rPr>
            <sz val="9"/>
            <rFont val="Geneva"/>
            <family val="0"/>
          </rPr>
          <t xml:space="preserve">
</t>
        </r>
      </text>
    </comment>
  </commentList>
</comments>
</file>

<file path=xl/comments6.xml><?xml version="1.0" encoding="utf-8"?>
<comments xmlns="http://schemas.openxmlformats.org/spreadsheetml/2006/main">
  <authors>
    <author>eli peli</author>
  </authors>
  <commentList>
    <comment ref="J5" authorId="0">
      <text>
        <r>
          <rPr>
            <b/>
            <sz val="9"/>
            <rFont val="Geneva"/>
            <family val="0"/>
          </rPr>
          <t xml:space="preserve">
this was done before we began testing each prism separately.</t>
        </r>
        <r>
          <rPr>
            <sz val="9"/>
            <rFont val="Geneva"/>
            <family val="0"/>
          </rPr>
          <t xml:space="preserve">
</t>
        </r>
      </text>
    </comment>
    <comment ref="T5" authorId="0">
      <text>
        <r>
          <rPr>
            <b/>
            <sz val="9"/>
            <rFont val="Geneva"/>
            <family val="0"/>
          </rPr>
          <t xml:space="preserve">
this was done before we began testing each prism separately.
</t>
        </r>
        <r>
          <rPr>
            <sz val="9"/>
            <rFont val="Geneva"/>
            <family val="0"/>
          </rPr>
          <t xml:space="preserve">
</t>
        </r>
      </text>
    </comment>
    <comment ref="AJ1" authorId="0">
      <text>
        <r>
          <rPr>
            <b/>
            <sz val="9"/>
            <rFont val="Geneva"/>
            <family val="0"/>
          </rPr>
          <t xml:space="preserve">
line is left = ESO (-)
line is right = EXO (+)</t>
        </r>
        <r>
          <rPr>
            <sz val="9"/>
            <rFont val="Geneva"/>
            <family val="0"/>
          </rPr>
          <t xml:space="preserve">
</t>
        </r>
      </text>
    </comment>
  </commentList>
</comments>
</file>

<file path=xl/comments8.xml><?xml version="1.0" encoding="utf-8"?>
<comments xmlns="http://schemas.openxmlformats.org/spreadsheetml/2006/main">
  <authors>
    <author>eli peli</author>
  </authors>
  <commentList>
    <comment ref="F5" authorId="0">
      <text>
        <r>
          <rPr>
            <sz val="9"/>
            <rFont val="Geneva"/>
            <family val="0"/>
          </rPr>
          <t xml:space="preserve">
Subject did not return a diary. Zero entered for calculation of total on sheet 'Visit 5'
</t>
        </r>
      </text>
    </comment>
  </commentList>
</comments>
</file>

<file path=xl/comments9.xml><?xml version="1.0" encoding="utf-8"?>
<comments xmlns="http://schemas.openxmlformats.org/spreadsheetml/2006/main">
  <authors>
    <author>eli peli</author>
    <author>Russell Woods</author>
    <author>jennifer</author>
  </authors>
  <commentList>
    <comment ref="P5" authorId="0">
      <text>
        <r>
          <rPr>
            <b/>
            <sz val="9"/>
            <rFont val="Geneva"/>
            <family val="0"/>
          </rPr>
          <t xml:space="preserve">
did not measure each prism separately</t>
        </r>
        <r>
          <rPr>
            <sz val="9"/>
            <rFont val="Geneva"/>
            <family val="0"/>
          </rPr>
          <t xml:space="preserve">
</t>
        </r>
      </text>
    </comment>
    <comment ref="C10" authorId="1">
      <text>
        <r>
          <rPr>
            <b/>
            <sz val="9"/>
            <rFont val="Geneva"/>
            <family val="0"/>
          </rPr>
          <t>Russell Woods:</t>
        </r>
        <r>
          <rPr>
            <sz val="9"/>
            <rFont val="Geneva"/>
            <family val="0"/>
          </rPr>
          <t xml:space="preserve">
She reported not wearing the glasses for 2 months following surgery.  Note the additional element in the formula.</t>
        </r>
      </text>
    </comment>
    <comment ref="AJ15" authorId="2">
      <text>
        <r>
          <rPr>
            <b/>
            <sz val="8"/>
            <rFont val="Tahoma"/>
            <family val="0"/>
          </rPr>
          <t>jennifer:</t>
        </r>
        <r>
          <rPr>
            <sz val="8"/>
            <rFont val="Tahoma"/>
            <family val="0"/>
          </rPr>
          <t xml:space="preserve">
When repeated, was 0</t>
        </r>
      </text>
    </comment>
  </commentList>
</comments>
</file>

<file path=xl/sharedStrings.xml><?xml version="1.0" encoding="utf-8"?>
<sst xmlns="http://schemas.openxmlformats.org/spreadsheetml/2006/main" count="803" uniqueCount="259">
  <si>
    <t>Visual Field Simulated Auto Plot (12 mm)</t>
  </si>
  <si>
    <t>Estimated Total Wear (hours)</t>
  </si>
  <si>
    <t>Which Eye</t>
  </si>
  <si>
    <t>weeks</t>
  </si>
  <si>
    <t>Monocular Visual Field Simulated Auto Plot (12 mm)</t>
  </si>
  <si>
    <t>Total hours worn</t>
  </si>
  <si>
    <t>Hours/Day Total</t>
  </si>
  <si>
    <t>Date of 5th Visit</t>
  </si>
  <si>
    <t>VA (logMAR)</t>
  </si>
  <si>
    <t>Totals</t>
  </si>
  <si>
    <t>"Binocular"</t>
  </si>
  <si>
    <t>Radial Sum</t>
  </si>
  <si>
    <t>Left Radius</t>
  </si>
  <si>
    <t>Right Radius</t>
  </si>
  <si>
    <t>Question 3</t>
  </si>
  <si>
    <t>Benefits?</t>
  </si>
  <si>
    <t>If Yes, Diff per Week</t>
  </si>
  <si>
    <t>Question 4</t>
  </si>
  <si>
    <t>Pay $1000?</t>
  </si>
  <si>
    <t>If No, Max Amount</t>
  </si>
  <si>
    <t>Question 5</t>
  </si>
  <si>
    <t>Retest? Ask only if Question 1 = No</t>
  </si>
  <si>
    <t>Nasal Power (diopters)</t>
  </si>
  <si>
    <t>Right</t>
  </si>
  <si>
    <t>Hours/day since Visit 4</t>
  </si>
  <si>
    <t>Date Questioned</t>
  </si>
  <si>
    <t>Question 1</t>
  </si>
  <si>
    <t>Still Wearing?</t>
  </si>
  <si>
    <t>No</t>
  </si>
  <si>
    <t>Yes</t>
  </si>
  <si>
    <t>If Yes, Hrs/Week</t>
  </si>
  <si>
    <t>N/A</t>
  </si>
  <si>
    <t>If No, Months since last wear</t>
  </si>
  <si>
    <t>Total Days in Trial</t>
  </si>
  <si>
    <t>Estimated Hrs/Day</t>
  </si>
  <si>
    <t>VA (single Letter)</t>
  </si>
  <si>
    <t>Phoria</t>
  </si>
  <si>
    <t>blur</t>
  </si>
  <si>
    <t>Distance: 15 feet (diopters)</t>
  </si>
  <si>
    <t>Near: 3 feet (diopters)</t>
  </si>
  <si>
    <t>Binocular Visual Field Changes</t>
  </si>
  <si>
    <t>Question 2</t>
  </si>
  <si>
    <t>not measured</t>
  </si>
  <si>
    <t>Head Turned Left (OU)</t>
  </si>
  <si>
    <t>Head Turned Right(OU)</t>
  </si>
  <si>
    <t>Mobility Training</t>
  </si>
  <si>
    <t>Visit Timelines</t>
  </si>
  <si>
    <t>Visit 3</t>
  </si>
  <si>
    <t>Date of Visit 3</t>
  </si>
  <si>
    <t>Date of Visit 2</t>
  </si>
  <si>
    <t>Left</t>
  </si>
  <si>
    <t>extra letters</t>
  </si>
  <si>
    <t>Amount of Wear</t>
  </si>
  <si>
    <t>Days since Visit 2</t>
  </si>
  <si>
    <t>Hours worn since Visit 2</t>
  </si>
  <si>
    <t>Hours/day since Visit 2</t>
  </si>
  <si>
    <t>Days since Visit 3</t>
  </si>
  <si>
    <t>Hours worn since Visit 3</t>
  </si>
  <si>
    <t>Days since Visit 4</t>
  </si>
  <si>
    <t>Hours worn since Visit 4</t>
  </si>
  <si>
    <t>Head Left Right Radius</t>
  </si>
  <si>
    <t>Head Right Left Radius</t>
  </si>
  <si>
    <t>VA (single letter)</t>
  </si>
  <si>
    <t>Hours/day since Visit 3</t>
  </si>
  <si>
    <t>Visit 5</t>
  </si>
  <si>
    <t>Visit 4</t>
  </si>
  <si>
    <t>Adaptation?</t>
  </si>
  <si>
    <t>T.B.D.</t>
  </si>
  <si>
    <t>Max Monocular Left Radius</t>
  </si>
  <si>
    <t>Max Monocular Right Radius</t>
  </si>
  <si>
    <t>Source</t>
  </si>
  <si>
    <t>Days since Visit 1</t>
  </si>
  <si>
    <t>m</t>
  </si>
  <si>
    <t>f</t>
  </si>
  <si>
    <t>Diagnosis</t>
  </si>
  <si>
    <t>RP</t>
  </si>
  <si>
    <t>MEEI</t>
  </si>
  <si>
    <t>SERI</t>
  </si>
  <si>
    <t>no</t>
  </si>
  <si>
    <t>Questions 32-35</t>
  </si>
  <si>
    <t>Date</t>
  </si>
  <si>
    <t>not done</t>
  </si>
  <si>
    <t>Left Prism</t>
  </si>
  <si>
    <t>Right Prism</t>
  </si>
  <si>
    <t>Not done</t>
  </si>
  <si>
    <t>Date of Visit 4</t>
  </si>
  <si>
    <t>Visit Timeline</t>
  </si>
  <si>
    <t>Prism Eye</t>
  </si>
  <si>
    <t>Days since visit 2</t>
  </si>
  <si>
    <t>days</t>
  </si>
  <si>
    <t>Days before visit 2</t>
  </si>
  <si>
    <t>VA</t>
  </si>
  <si>
    <t>VF</t>
  </si>
  <si>
    <t>polarize</t>
  </si>
  <si>
    <t>yes</t>
  </si>
  <si>
    <t>FFB</t>
  </si>
  <si>
    <t>Degrees of Doubling</t>
  </si>
  <si>
    <t>Days before Visit 3</t>
  </si>
  <si>
    <t>CHM</t>
  </si>
  <si>
    <t>Distance Calibrated (ft)</t>
  </si>
  <si>
    <t>Distance Viewed (ft)</t>
  </si>
  <si>
    <t>Non-Prism Eye</t>
  </si>
  <si>
    <t>OD</t>
  </si>
  <si>
    <t>OS</t>
  </si>
  <si>
    <t>OU</t>
  </si>
  <si>
    <t>Score</t>
  </si>
  <si>
    <t xml:space="preserve">   </t>
  </si>
  <si>
    <t>Non-prism Eye</t>
  </si>
  <si>
    <t>$500-$700</t>
  </si>
  <si>
    <t>Not tested</t>
  </si>
  <si>
    <t>This workbook is provided to you to share data reported in:</t>
  </si>
  <si>
    <t>Extended Wearing Trial of Trifield Lens Device For "Tunnel Vision"</t>
  </si>
  <si>
    <t>Demography</t>
  </si>
  <si>
    <t>Males =</t>
  </si>
  <si>
    <t xml:space="preserve">Females = </t>
  </si>
  <si>
    <t xml:space="preserve">RP = </t>
  </si>
  <si>
    <t xml:space="preserve">CHM = </t>
  </si>
  <si>
    <t>Age</t>
  </si>
  <si>
    <t xml:space="preserve">Minimum = </t>
  </si>
  <si>
    <t xml:space="preserve">Maximum = </t>
  </si>
  <si>
    <t xml:space="preserve">Median = </t>
  </si>
  <si>
    <t>Q2
Walking in unfamiliar areas</t>
  </si>
  <si>
    <t>Q4
Moving about at work</t>
  </si>
  <si>
    <t>Q6
Moving about in stores</t>
  </si>
  <si>
    <t>Q7
Moving about outdoors</t>
  </si>
  <si>
    <t>Q8
Moving about in crowded situations</t>
  </si>
  <si>
    <t>Q24
Being aware of another person's presence</t>
  </si>
  <si>
    <t>Q25
Avoid bumping into people</t>
  </si>
  <si>
    <t>Q26
Avoid bumping into walls</t>
  </si>
  <si>
    <t>Q27
Avoid bumping into head-height objects</t>
  </si>
  <si>
    <t>Q28
Avoid bumping into shoulder-height objects</t>
  </si>
  <si>
    <t>Q29
Avoid bumping into waist-height objects</t>
  </si>
  <si>
    <t>Q30
Avoid bumping knee-height objects</t>
  </si>
  <si>
    <t>Q31
Avoid bumping into low-lying objects</t>
  </si>
  <si>
    <t>Q32
Avoid tripping over uneven travel surfaces</t>
  </si>
  <si>
    <t>Q33
Moving around in social gatherings</t>
  </si>
  <si>
    <t>Q34
Finding restrooms in public places</t>
  </si>
  <si>
    <t>Q35
Seeing cars at intersections</t>
  </si>
  <si>
    <t>Total</t>
  </si>
  <si>
    <t>Wearing Times</t>
  </si>
  <si>
    <t>Average =</t>
  </si>
  <si>
    <t>Minimum =</t>
  </si>
  <si>
    <t>Maximum =</t>
  </si>
  <si>
    <t>Wearing Time: Visits 2 through 5 (hours/day)</t>
  </si>
  <si>
    <t>Hours/Day since Visit 2</t>
  </si>
  <si>
    <t>Hours/Day since Visit 3</t>
  </si>
  <si>
    <t>Hours/Day since Visit 4</t>
  </si>
  <si>
    <t>Visit 1: Screening</t>
  </si>
  <si>
    <t>Visit 3: Follow-up visit, one week after fitting</t>
  </si>
  <si>
    <t>Visit 4: Follow-up visit, three weeks after fitting</t>
  </si>
  <si>
    <t>Visit 5: Final visit, six weeks after fitting</t>
  </si>
  <si>
    <t>Gender</t>
  </si>
  <si>
    <t>Uses long cane</t>
  </si>
  <si>
    <t>Yes =</t>
  </si>
  <si>
    <t xml:space="preserve">No = </t>
  </si>
  <si>
    <t>Date Visit 1</t>
  </si>
  <si>
    <t>Prism Information</t>
  </si>
  <si>
    <t>Prescribed powers</t>
  </si>
  <si>
    <t>How determined:
- polarize
- blur
- VA
- VF
- Subject</t>
  </si>
  <si>
    <t>Min =</t>
  </si>
  <si>
    <t>Max =</t>
  </si>
  <si>
    <t>Nasal</t>
  </si>
  <si>
    <t>Temporal</t>
  </si>
  <si>
    <t>Age (years)</t>
  </si>
  <si>
    <t xml:space="preserve">Still wearing </t>
  </si>
  <si>
    <t xml:space="preserve">Yes = </t>
  </si>
  <si>
    <t>Temporal Power (diopters)</t>
  </si>
  <si>
    <t>Distance viewed (feet)</t>
  </si>
  <si>
    <t>Distance calibrated (feet)</t>
  </si>
  <si>
    <t>VA (Snellen)
20/nnn</t>
  </si>
  <si>
    <t>Near: 
3 feet (diopters)</t>
  </si>
  <si>
    <t>Distance Calibrated (feet)</t>
  </si>
  <si>
    <t>Distance Viewed (feet)</t>
  </si>
  <si>
    <t>Visit 2: 
Trifield glasses dispensed</t>
  </si>
  <si>
    <t>Std Dev =</t>
  </si>
  <si>
    <t>Mean =</t>
  </si>
  <si>
    <t>Visual Fields without Trifield</t>
  </si>
  <si>
    <t>Visual Fields with Trifield</t>
  </si>
  <si>
    <t>Ratio of Visual Fields (With to Without)</t>
  </si>
  <si>
    <t>Visit 1 
Visual fields without Trifield Lens (TF)</t>
  </si>
  <si>
    <t>Visit 2 
Visual fields with Trifield Lens (TF)</t>
  </si>
  <si>
    <r>
      <t>RP</t>
    </r>
    <r>
      <rPr>
        <sz val="9"/>
        <rFont val="Helv"/>
        <family val="0"/>
      </rPr>
      <t xml:space="preserve"> = Retinitis Pigmentosa, </t>
    </r>
    <r>
      <rPr>
        <i/>
        <sz val="9"/>
        <rFont val="Helv"/>
        <family val="0"/>
      </rPr>
      <t>CHM</t>
    </r>
    <r>
      <rPr>
        <sz val="9"/>
        <rFont val="Helv"/>
        <family val="0"/>
      </rPr>
      <t xml:space="preserve"> = Chorioderemia</t>
    </r>
  </si>
  <si>
    <r>
      <t>FFB</t>
    </r>
    <r>
      <rPr>
        <sz val="9"/>
        <rFont val="Helv"/>
        <family val="0"/>
      </rPr>
      <t xml:space="preserve"> = Foundation Fighting Blindness, </t>
    </r>
    <r>
      <rPr>
        <i/>
        <sz val="9"/>
        <rFont val="Helv"/>
        <family val="0"/>
      </rPr>
      <t>SERI</t>
    </r>
    <r>
      <rPr>
        <sz val="9"/>
        <rFont val="Helv"/>
        <family val="0"/>
      </rPr>
      <t xml:space="preserve"> = Schepens Eye Research Institute, </t>
    </r>
    <r>
      <rPr>
        <i/>
        <sz val="9"/>
        <rFont val="Helv"/>
        <family val="0"/>
      </rPr>
      <t>MEEI</t>
    </r>
    <r>
      <rPr>
        <sz val="9"/>
        <rFont val="Helv"/>
        <family val="0"/>
      </rPr>
      <t xml:space="preserve"> = Massachusetts Eye and Ear Infirmary</t>
    </r>
  </si>
  <si>
    <t>Visual Fields</t>
  </si>
  <si>
    <t>Continued  to wear Trifield Glasses</t>
  </si>
  <si>
    <t>Questions 4-7
  Moving about at:</t>
  </si>
  <si>
    <t xml:space="preserve">Question 24 </t>
  </si>
  <si>
    <r>
      <t xml:space="preserve">The </t>
    </r>
    <r>
      <rPr>
        <b/>
        <sz val="9"/>
        <rFont val="Helv"/>
        <family val="0"/>
      </rPr>
      <t>Visit 1</t>
    </r>
    <r>
      <rPr>
        <sz val="9"/>
        <rFont val="Helv"/>
        <family val="0"/>
      </rPr>
      <t xml:space="preserve"> worksheet contains visual acuity, visual fields, phoria and information on prescribed prisms.</t>
    </r>
  </si>
  <si>
    <r>
      <t xml:space="preserve">The </t>
    </r>
    <r>
      <rPr>
        <b/>
        <sz val="9"/>
        <rFont val="Helv"/>
        <family val="0"/>
      </rPr>
      <t xml:space="preserve">Visit 3 </t>
    </r>
    <r>
      <rPr>
        <sz val="9"/>
        <rFont val="Helv"/>
        <family val="0"/>
      </rPr>
      <t xml:space="preserve">and </t>
    </r>
    <r>
      <rPr>
        <b/>
        <sz val="9"/>
        <rFont val="Helv"/>
        <family val="0"/>
      </rPr>
      <t>Visit 4</t>
    </r>
    <r>
      <rPr>
        <sz val="9"/>
        <rFont val="Helv"/>
        <family val="0"/>
      </rPr>
      <t xml:space="preserve"> worksheets contain the patients' visual acuity, phoria, the number of days between visits and the number of hours that they wore the Trifield glasses.</t>
    </r>
  </si>
  <si>
    <r>
      <t xml:space="preserve">The </t>
    </r>
    <r>
      <rPr>
        <b/>
        <sz val="9"/>
        <rFont val="Helv"/>
        <family val="0"/>
      </rPr>
      <t>VF Change</t>
    </r>
    <r>
      <rPr>
        <sz val="9"/>
        <rFont val="Helv"/>
        <family val="0"/>
      </rPr>
      <t xml:space="preserve"> worksheet contains the patients' binocular fields measured at Visit 1 (without the Trifield glasses) and at Visit 2 (with the Trifield glasses).</t>
    </r>
  </si>
  <si>
    <r>
      <t xml:space="preserve">The </t>
    </r>
    <r>
      <rPr>
        <b/>
        <sz val="9"/>
        <rFont val="Helv"/>
        <family val="0"/>
      </rPr>
      <t xml:space="preserve">Wearing Times </t>
    </r>
    <r>
      <rPr>
        <sz val="9"/>
        <rFont val="Helv"/>
        <family val="0"/>
      </rPr>
      <t>worksheet summarizes the wearing times at visits 3, 4 and 5.</t>
    </r>
  </si>
  <si>
    <r>
      <t xml:space="preserve">The </t>
    </r>
    <r>
      <rPr>
        <b/>
        <sz val="9"/>
        <rFont val="Helv"/>
        <family val="0"/>
      </rPr>
      <t xml:space="preserve">LT Q'aire </t>
    </r>
    <r>
      <rPr>
        <sz val="9"/>
        <rFont val="Helv"/>
        <family val="0"/>
      </rPr>
      <t>worksheet contains responses to the long term questionnaire. This telephone interview was conducted about one year following the end of the study. Only those patients who continued to wear Trifield glasses at Visit 5, participated in this follow-up.</t>
    </r>
  </si>
  <si>
    <t>Long Term Questionnaire</t>
  </si>
  <si>
    <t>Successful wearers</t>
  </si>
  <si>
    <t xml:space="preserve">MEAN = </t>
  </si>
  <si>
    <t xml:space="preserve">STD DEV = </t>
  </si>
  <si>
    <t xml:space="preserve">MEDIAN = </t>
  </si>
  <si>
    <t>Weeks</t>
  </si>
  <si>
    <t>Days</t>
  </si>
  <si>
    <t>Time since Visit 2</t>
  </si>
  <si>
    <t>Days since end of study</t>
  </si>
  <si>
    <t>VA (Metric)
6/nn</t>
  </si>
  <si>
    <t>"Binocular"
(degrees)</t>
  </si>
  <si>
    <r>
      <t xml:space="preserve">The </t>
    </r>
    <r>
      <rPr>
        <b/>
        <sz val="9"/>
        <rFont val="Helv"/>
        <family val="0"/>
      </rPr>
      <t xml:space="preserve">Visit 5 </t>
    </r>
    <r>
      <rPr>
        <sz val="9"/>
        <rFont val="Helv"/>
        <family val="0"/>
      </rPr>
      <t>worksheet contains the patients' visual acuity, fields, phoria, the number of days between visits, the number of hours that they wore the Trifield glasses and whether they continued to wear the Trifield glasses. Clinical interviews included open-ended questions which are summarized within the manuscript but not included within this data sharing spreadsheet.</t>
    </r>
  </si>
  <si>
    <t>Difference in Visual Fields
(degrees)</t>
  </si>
  <si>
    <t xml:space="preserve">Total = </t>
  </si>
  <si>
    <t>Long Term
Still Wearing?</t>
  </si>
  <si>
    <t>% still wearing who completed study</t>
  </si>
  <si>
    <r>
      <t xml:space="preserve">The </t>
    </r>
    <r>
      <rPr>
        <b/>
        <sz val="9"/>
        <rFont val="Helv"/>
        <family val="0"/>
      </rPr>
      <t>Visit 1 IMQ</t>
    </r>
    <r>
      <rPr>
        <sz val="9"/>
        <rFont val="Helv"/>
        <family val="0"/>
      </rPr>
      <t xml:space="preserve"> and</t>
    </r>
    <r>
      <rPr>
        <b/>
        <sz val="9"/>
        <rFont val="Helv"/>
        <family val="0"/>
      </rPr>
      <t xml:space="preserve"> Visit 5 IMQ</t>
    </r>
    <r>
      <rPr>
        <sz val="9"/>
        <rFont val="Helv"/>
        <family val="0"/>
      </rPr>
      <t xml:space="preserve"> worksheets contain responses to the Independent Mobility Questionnaire (IMQ). The questions selected represent those hypothesized to be related to mobility and obstacle avoidance and thus could be sensitive to the effects of the Trifield glasses. </t>
    </r>
  </si>
  <si>
    <t>Q19 
Indoor to outdoor</t>
  </si>
  <si>
    <t>Q20 
Outdoor to indoor</t>
  </si>
  <si>
    <t xml:space="preserve">Question 23 </t>
  </si>
  <si>
    <t>Q21 
Indoor to streetlights</t>
  </si>
  <si>
    <t>Q22 
Streetlights to indoor</t>
  </si>
  <si>
    <t>Q23 
Walking in dimly lit indoor areas</t>
  </si>
  <si>
    <t>Q19
Difficulty finding something on a crowded shelf</t>
  </si>
  <si>
    <t xml:space="preserve">Q23
Difficulty in noticing objects off to the side while walking </t>
  </si>
  <si>
    <t>Q34
Difficulty going out to see movies, plays, sports events</t>
  </si>
  <si>
    <t>Q47
Need a lot of help from others because of my eyesight</t>
  </si>
  <si>
    <t>Q33
Difficulty participating in outdoor activities</t>
  </si>
  <si>
    <t>NA</t>
  </si>
  <si>
    <t>NA = Non-vision  reason given as response</t>
  </si>
  <si>
    <t>Q19 - Q34: 1 = No difficulty at all, 2 = A little difficulty, 3 = Moderate difficulty, 4 = Extreme difficulty, 
5 = Stopped doing this because of eyesight</t>
  </si>
  <si>
    <t>Q41 - Q47: 1 = Definitely true, 2 = Mostly true, 3 = Not sure, 4 = Mostly false, 5 = Definitely false</t>
  </si>
  <si>
    <t>Q31
Difficulty visiting with people you do not know well in their homes, at parties or in restaurants</t>
  </si>
  <si>
    <t>Q22
Difficulty going down steps, or curbs in dim light or at night</t>
  </si>
  <si>
    <t>Q45
I don't go out of my home alone because of my eyesight</t>
  </si>
  <si>
    <t>Q43
Have much less control over what  do, because of my eyesight</t>
  </si>
  <si>
    <t>Q41
Stay at home most of time, because of my eyesight</t>
  </si>
  <si>
    <t>Subjects who completed study and continued to wear Trifield glasses: 1-6, 8-9, and S11</t>
  </si>
  <si>
    <t xml:space="preserve">Subject </t>
  </si>
  <si>
    <r>
      <t xml:space="preserve">The </t>
    </r>
    <r>
      <rPr>
        <b/>
        <sz val="9"/>
        <rFont val="Helv"/>
        <family val="0"/>
      </rPr>
      <t xml:space="preserve">Demography </t>
    </r>
    <r>
      <rPr>
        <sz val="9"/>
        <rFont val="Helv"/>
        <family val="0"/>
      </rPr>
      <t>worksheet contains subject data including age, gender, diagnoses, mobility training and long cane usage for the 12 patients enrolled in the study.</t>
    </r>
  </si>
  <si>
    <r>
      <t xml:space="preserve">The </t>
    </r>
    <r>
      <rPr>
        <b/>
        <sz val="9"/>
        <rFont val="Helv"/>
        <family val="0"/>
      </rPr>
      <t>Visit 1 VFQ and Visit 5 VFQ</t>
    </r>
    <r>
      <rPr>
        <sz val="9"/>
        <rFont val="Helv"/>
        <family val="0"/>
      </rPr>
      <t xml:space="preserve"> worksheets contain responses to the National Eye Institute Visual Functioning Questionnaire (1995 version). The selected questions represent those hypothesized to be related to mobility and obstacle avoidance and thus could be sensitive to the effects of the Trifie</t>
    </r>
    <r>
      <rPr>
        <sz val="9"/>
        <rFont val="Helv"/>
        <family val="0"/>
      </rPr>
      <t xml:space="preserve">ld glasses. </t>
    </r>
  </si>
  <si>
    <r>
      <t xml:space="preserve">The </t>
    </r>
    <r>
      <rPr>
        <b/>
        <sz val="9"/>
        <rFont val="Helv"/>
        <family val="0"/>
      </rPr>
      <t xml:space="preserve">Visit 2 </t>
    </r>
    <r>
      <rPr>
        <sz val="9"/>
        <rFont val="Helv"/>
        <family val="0"/>
      </rPr>
      <t>worksheet contains visual acuity, fields and phoria measured with the patients wearing the Trifield glasses.</t>
    </r>
  </si>
  <si>
    <t>Subjects</t>
  </si>
  <si>
    <t>Change in Visual Acuity: Visit 2 -Visit 5
(logMAR)</t>
  </si>
  <si>
    <t xml:space="preserve"> VA &lt; -0.1</t>
  </si>
  <si>
    <t>Visit 2 - Visit 5</t>
  </si>
  <si>
    <t xml:space="preserve"> VA &gt; 0.1</t>
  </si>
  <si>
    <t xml:space="preserve">Prescribed powers </t>
  </si>
  <si>
    <t>Q10 
Moving about using public transportation</t>
  </si>
  <si>
    <t>Extended Wearing Trial of Trifield Lens Device For "Tunnel Vision"
Russell L. Woods, PhD, MCOptom, FAAO, Robert G. Giorgi, MSc, 
Eliot L. Berson, MD and Eli Peli OD, MSc, FAAO
Submitted to: Ophthalmic and Physiological Optics - October 2009</t>
  </si>
  <si>
    <t>Question 8</t>
  </si>
  <si>
    <t>Question 10</t>
  </si>
  <si>
    <t>Questions 19-20
Adjusting to lighting changes during the day:</t>
  </si>
  <si>
    <t>Questions 21-22
Adjusting to lighting changes at night:</t>
  </si>
  <si>
    <t>Questions 25-31
Avoid bumping into:</t>
  </si>
  <si>
    <t>Visit 1:  National Eye Institute - Visual Functioning Questionnaire  (NEI-VFQ-25) 1995 version
(Situations in questions 19, 23, 31, 33, 34, 41, 43, 45 and 47 were hypothesized to be affected by wearing the Trifield glasses. Question 22 was included at post-hoc analyses.)</t>
  </si>
  <si>
    <t>Visit 5:  Independent Mobility Questionnaire (IMQ)
Difficulty ratings, where 1 = No difficulty to 5 = Extreme difficulty. N/A = Not applicable or only perform activity with assistance. M = Answer missing.
(Situations in questions 2, 4, 6, 7, 8, 10, and 24 - 35 were hypothesized to be affected by wearing the Trifield glasses. Questions 19 - 23 were included at post-hoc analyses.)</t>
  </si>
  <si>
    <t>Part 2: Difficulty with activities - How much difficulty, if any, doing certain activities wearing your glasses or contact lenses if you use them for that activity?</t>
  </si>
  <si>
    <t>Part 3: Responses to visual problems - How things you do may be affected by your vision?</t>
  </si>
  <si>
    <t>Visit 5:  National Eye Institute - Visual Functioning Questionnaire  (NEI-VFQ-25) 1995 version
(Situations in questions 19, 23, 31, 33, 34, 41, 43, 45 and 47 were hypothesized to be affected by wearing the Trifield glasses. Question 22 was included at post-hoc analyses.)</t>
  </si>
  <si>
    <t>Non-Prism eye 15/__</t>
  </si>
  <si>
    <t>Difficulties</t>
  </si>
  <si>
    <t>Binocular Visual Field with TF glasses Simulated Auto Plot (12 mm)</t>
  </si>
  <si>
    <t>Visit 2</t>
  </si>
  <si>
    <t>Visit 1:  Independent Mobility Questionnaire (IMQ)
Difficulty ratings, where 1 = No difficulty to 5 = Extreme difficulty. N/A = Not applicable or only perform activity with assistance. m = Answer missing.
(Situations in questions 2, 4, 6, 7, 8, 10, and 24 - 35 were hypothesized to be affected by wearing the Trifield glasses. Questions 19 - 23 were included at post-hoc analyses.)</t>
  </si>
  <si>
    <t>Difference in Visual Fields (with Trifield - without Trifield)</t>
  </si>
  <si>
    <t>Ratio with Trifield to without Trifield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</si>
</sst>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
    <numFmt numFmtId="167" formatCode="0.000"/>
    <numFmt numFmtId="168" formatCode="0.0"/>
    <numFmt numFmtId="169" formatCode="m/d"/>
    <numFmt numFmtId="170" formatCode="0.0000000"/>
    <numFmt numFmtId="171" formatCode="mm/dd/yy"/>
    <numFmt numFmtId="172" formatCode="0.00000000"/>
    <numFmt numFmtId="173" formatCode="0.0000000000"/>
    <numFmt numFmtId="174" formatCode="mmm\-yyyy"/>
    <numFmt numFmtId="175" formatCode="00000"/>
    <numFmt numFmtId="176" formatCode="dd/m/yyyy"/>
    <numFmt numFmtId="177" formatCode="m/d/yy"/>
    <numFmt numFmtId="178" formatCode="0.00_);\(0.00\)"/>
    <numFmt numFmtId="179" formatCode="dd\-mmm\-yyyy"/>
    <numFmt numFmtId="180" formatCode="mmmm\ d\,\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000000000"/>
    <numFmt numFmtId="187" formatCode="0.000000000"/>
    <numFmt numFmtId="188" formatCode="0.0%"/>
    <numFmt numFmtId="189" formatCode="&quot;$&quot;#,##0.00"/>
    <numFmt numFmtId="190" formatCode="0.0000000000000"/>
    <numFmt numFmtId="191" formatCode="0.000000000000"/>
  </numFmts>
  <fonts count="24">
    <font>
      <sz val="9"/>
      <name val="Helv"/>
      <family val="0"/>
    </font>
    <font>
      <b/>
      <sz val="9"/>
      <name val="Helv"/>
      <family val="0"/>
    </font>
    <font>
      <i/>
      <sz val="9"/>
      <name val="Helv"/>
      <family val="0"/>
    </font>
    <font>
      <b/>
      <i/>
      <sz val="9"/>
      <name val="Helv"/>
      <family val="0"/>
    </font>
    <font>
      <sz val="12"/>
      <name val="Helv"/>
      <family val="0"/>
    </font>
    <font>
      <b/>
      <sz val="9"/>
      <name val="Geneva"/>
      <family val="0"/>
    </font>
    <font>
      <b/>
      <sz val="12"/>
      <name val="Helv"/>
      <family val="0"/>
    </font>
    <font>
      <sz val="10"/>
      <name val="Helv"/>
      <family val="0"/>
    </font>
    <font>
      <sz val="9"/>
      <color indexed="16"/>
      <name val="Helv"/>
      <family val="0"/>
    </font>
    <font>
      <sz val="9"/>
      <color indexed="10"/>
      <name val="Helv"/>
      <family val="0"/>
    </font>
    <font>
      <sz val="8"/>
      <name val="Helv"/>
      <family val="0"/>
    </font>
    <font>
      <b/>
      <sz val="10"/>
      <name val="Helv"/>
      <family val="0"/>
    </font>
    <font>
      <b/>
      <sz val="8"/>
      <name val="Helv"/>
      <family val="0"/>
    </font>
    <font>
      <u val="single"/>
      <sz val="9"/>
      <color indexed="12"/>
      <name val="Helv"/>
      <family val="0"/>
    </font>
    <font>
      <u val="single"/>
      <sz val="9"/>
      <color indexed="36"/>
      <name val="Helv"/>
      <family val="0"/>
    </font>
    <font>
      <b/>
      <sz val="11"/>
      <name val="Helv"/>
      <family val="0"/>
    </font>
    <font>
      <sz val="9"/>
      <name val="Geneva"/>
      <family val="0"/>
    </font>
    <font>
      <sz val="8"/>
      <name val="Tahoma"/>
      <family val="0"/>
    </font>
    <font>
      <b/>
      <sz val="8"/>
      <name val="Tahoma"/>
      <family val="0"/>
    </font>
    <font>
      <b/>
      <sz val="11"/>
      <name val="Arial"/>
      <family val="2"/>
    </font>
    <font>
      <b/>
      <sz val="14"/>
      <name val="Arial"/>
      <family val="2"/>
    </font>
    <font>
      <b/>
      <sz val="10"/>
      <name val="Arial"/>
      <family val="2"/>
    </font>
    <font>
      <b/>
      <sz val="9"/>
      <color indexed="16"/>
      <name val="Helv"/>
      <family val="0"/>
    </font>
    <font>
      <b/>
      <sz val="9"/>
      <name val="Arial"/>
      <family val="2"/>
    </font>
  </fonts>
  <fills count="12">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40"/>
        <bgColor indexed="64"/>
      </patternFill>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50"/>
        <bgColor indexed="64"/>
      </patternFill>
    </fill>
  </fills>
  <borders count="62">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style="thin"/>
      <right style="medium"/>
      <top style="thin"/>
      <bottom style="thin"/>
    </border>
    <border>
      <left style="thin"/>
      <right>
        <color indexed="63"/>
      </right>
      <top style="thin"/>
      <bottom style="thin"/>
    </border>
    <border>
      <left style="thin"/>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style="thin"/>
      <top style="medium"/>
      <bottom style="thin"/>
    </border>
    <border>
      <left>
        <color indexed="63"/>
      </left>
      <right style="thin"/>
      <top style="thin"/>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style="medium"/>
      <right style="thin"/>
      <top style="medium"/>
      <bottom style="thin"/>
    </border>
    <border>
      <left>
        <color indexed="63"/>
      </left>
      <right style="thin"/>
      <top style="medium"/>
      <bottom style="thin"/>
    </border>
    <border>
      <left style="thin"/>
      <right style="thin"/>
      <top>
        <color indexed="63"/>
      </top>
      <bottom style="thin"/>
    </border>
    <border>
      <left>
        <color indexed="63"/>
      </left>
      <right>
        <color indexed="63"/>
      </right>
      <top style="thin"/>
      <bottom style="thin"/>
    </border>
    <border>
      <left style="thin"/>
      <right style="medium"/>
      <top style="medium"/>
      <bottom style="thin"/>
    </border>
    <border>
      <left style="mediumDashed"/>
      <right style="mediumDashed"/>
      <top>
        <color indexed="63"/>
      </top>
      <bottom>
        <color indexed="63"/>
      </bottom>
    </border>
    <border>
      <left style="mediumDashed"/>
      <right style="mediumDashed"/>
      <top>
        <color indexed="63"/>
      </top>
      <bottom style="mediumDashed"/>
    </border>
    <border>
      <left style="medium"/>
      <right style="thin"/>
      <top style="medium"/>
      <bottom>
        <color indexed="63"/>
      </bottom>
    </border>
    <border>
      <left style="medium"/>
      <right style="thin"/>
      <top>
        <color indexed="63"/>
      </top>
      <bottom style="thin"/>
    </border>
    <border>
      <left style="mediumDashed"/>
      <right style="mediumDashed"/>
      <top style="mediumDashed"/>
      <bottom>
        <color indexed="63"/>
      </bottom>
    </border>
    <border>
      <left style="thin"/>
      <right style="medium"/>
      <top>
        <color indexed="63"/>
      </top>
      <bottom style="medium"/>
    </border>
    <border>
      <left>
        <color indexed="63"/>
      </left>
      <right style="medium"/>
      <top style="thin"/>
      <bottom style="thin"/>
    </border>
    <border>
      <left style="thin"/>
      <right style="medium"/>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thin"/>
      <right style="thin"/>
      <top>
        <color indexed="63"/>
      </top>
      <bottom style="medium"/>
    </border>
    <border>
      <left style="mediumDashed"/>
      <right>
        <color indexed="63"/>
      </right>
      <top style="mediumDashed"/>
      <bottom style="mediumDashed"/>
    </border>
    <border>
      <left>
        <color indexed="63"/>
      </left>
      <right style="mediumDashed"/>
      <top style="mediumDashed"/>
      <bottom style="mediumDashed"/>
    </border>
    <border>
      <left>
        <color indexed="63"/>
      </left>
      <right style="medium"/>
      <top>
        <color indexed="63"/>
      </top>
      <bottom style="mediumDashed"/>
    </border>
    <border>
      <left style="mediumDashed"/>
      <right style="mediumDashed"/>
      <top style="mediumDashed"/>
      <bottom style="mediumDashed"/>
    </border>
    <border>
      <left>
        <color indexed="63"/>
      </left>
      <right style="thin"/>
      <top>
        <color indexed="63"/>
      </top>
      <bottom>
        <color indexed="63"/>
      </bottom>
    </border>
    <border>
      <left>
        <color indexed="63"/>
      </left>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613">
    <xf numFmtId="0" fontId="0" fillId="0" borderId="0" xfId="0" applyAlignment="1">
      <alignment/>
    </xf>
    <xf numFmtId="0" fontId="4" fillId="0" borderId="0" xfId="0" applyFont="1" applyFill="1" applyAlignment="1">
      <alignment horizontal="center" wrapText="1"/>
    </xf>
    <xf numFmtId="0" fontId="0" fillId="0" borderId="0" xfId="0" applyFill="1" applyAlignment="1">
      <alignment/>
    </xf>
    <xf numFmtId="168" fontId="0" fillId="0" borderId="0" xfId="0" applyNumberFormat="1" applyFont="1" applyFill="1" applyAlignment="1">
      <alignment/>
    </xf>
    <xf numFmtId="0" fontId="0" fillId="0" borderId="0" xfId="0" applyFont="1" applyAlignment="1">
      <alignment/>
    </xf>
    <xf numFmtId="0" fontId="0" fillId="0" borderId="0" xfId="0" applyAlignment="1">
      <alignment/>
    </xf>
    <xf numFmtId="0" fontId="0" fillId="0" borderId="0" xfId="0" applyAlignment="1">
      <alignment horizontal="center"/>
    </xf>
    <xf numFmtId="1" fontId="8" fillId="0" borderId="0" xfId="0" applyNumberFormat="1" applyFont="1" applyFill="1" applyAlignment="1">
      <alignment/>
    </xf>
    <xf numFmtId="0" fontId="1" fillId="0" borderId="0" xfId="0" applyFont="1" applyFill="1" applyAlignment="1">
      <alignment horizontal="center"/>
    </xf>
    <xf numFmtId="2" fontId="0" fillId="0" borderId="0" xfId="0" applyNumberFormat="1" applyFont="1" applyFill="1" applyAlignment="1">
      <alignment/>
    </xf>
    <xf numFmtId="1" fontId="0" fillId="0" borderId="0" xfId="0" applyNumberFormat="1" applyAlignment="1">
      <alignment/>
    </xf>
    <xf numFmtId="0" fontId="0" fillId="0" borderId="0" xfId="0" applyFill="1" applyAlignment="1">
      <alignment horizontal="center"/>
    </xf>
    <xf numFmtId="168" fontId="0" fillId="0" borderId="0" xfId="0" applyNumberFormat="1" applyAlignment="1">
      <alignment/>
    </xf>
    <xf numFmtId="168" fontId="0" fillId="0" borderId="0" xfId="0" applyNumberFormat="1" applyFont="1" applyAlignment="1">
      <alignment/>
    </xf>
    <xf numFmtId="1" fontId="8" fillId="0" borderId="0" xfId="0" applyNumberFormat="1" applyFont="1" applyFill="1" applyAlignment="1">
      <alignment horizontal="right"/>
    </xf>
    <xf numFmtId="0" fontId="8" fillId="0" borderId="0" xfId="0" applyFont="1" applyAlignment="1">
      <alignment horizontal="right"/>
    </xf>
    <xf numFmtId="0" fontId="0" fillId="0" borderId="0" xfId="0" applyFont="1" applyFill="1" applyAlignment="1">
      <alignment/>
    </xf>
    <xf numFmtId="0" fontId="0" fillId="2" borderId="0" xfId="0" applyFont="1" applyFill="1" applyAlignment="1">
      <alignment/>
    </xf>
    <xf numFmtId="0" fontId="0" fillId="0" borderId="0" xfId="0" applyFont="1" applyFill="1" applyAlignment="1">
      <alignment horizontal="center" wrapText="1"/>
    </xf>
    <xf numFmtId="0" fontId="7" fillId="0" borderId="0" xfId="0" applyFont="1" applyFill="1" applyAlignment="1">
      <alignment/>
    </xf>
    <xf numFmtId="0" fontId="7" fillId="0" borderId="0" xfId="0" applyFont="1" applyFill="1" applyAlignment="1">
      <alignment horizontal="centerContinuous"/>
    </xf>
    <xf numFmtId="0" fontId="0" fillId="0" borderId="0" xfId="0" applyFont="1" applyAlignment="1">
      <alignment horizontal="center"/>
    </xf>
    <xf numFmtId="0" fontId="1" fillId="0" borderId="0" xfId="0" applyFont="1" applyAlignment="1">
      <alignment vertical="center"/>
    </xf>
    <xf numFmtId="168" fontId="0" fillId="0" borderId="0" xfId="0" applyNumberFormat="1"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0" fillId="3" borderId="0" xfId="0" applyFill="1" applyAlignment="1">
      <alignment horizontal="center"/>
    </xf>
    <xf numFmtId="2" fontId="0" fillId="0" borderId="0" xfId="0" applyNumberFormat="1" applyAlignment="1">
      <alignment horizontal="center"/>
    </xf>
    <xf numFmtId="0" fontId="0" fillId="0" borderId="0" xfId="0" applyFont="1" applyFill="1" applyAlignment="1">
      <alignment horizontal="center"/>
    </xf>
    <xf numFmtId="0" fontId="0" fillId="0" borderId="0" xfId="0" applyAlignment="1">
      <alignment vertical="center"/>
    </xf>
    <xf numFmtId="2" fontId="0" fillId="0" borderId="0" xfId="0" applyNumberFormat="1" applyFill="1" applyAlignment="1">
      <alignment horizontal="center"/>
    </xf>
    <xf numFmtId="0" fontId="0" fillId="0" borderId="0" xfId="0" applyAlignment="1">
      <alignment horizontal="left"/>
    </xf>
    <xf numFmtId="0" fontId="0" fillId="0" borderId="0" xfId="0" applyAlignment="1">
      <alignment horizontal="center" vertical="center"/>
    </xf>
    <xf numFmtId="0" fontId="1" fillId="4" borderId="1" xfId="0" applyFont="1" applyFill="1" applyBorder="1" applyAlignment="1">
      <alignment horizontal="center" vertical="center" wrapText="1"/>
    </xf>
    <xf numFmtId="1" fontId="0" fillId="0" borderId="0" xfId="0" applyNumberFormat="1" applyAlignment="1">
      <alignment horizontal="center"/>
    </xf>
    <xf numFmtId="0" fontId="1" fillId="5" borderId="1" xfId="0" applyFont="1" applyFill="1" applyBorder="1" applyAlignment="1">
      <alignment horizontal="center" vertical="center" wrapText="1"/>
    </xf>
    <xf numFmtId="0" fontId="0" fillId="0" borderId="2" xfId="0" applyBorder="1" applyAlignment="1">
      <alignment/>
    </xf>
    <xf numFmtId="1" fontId="0" fillId="0" borderId="0" xfId="0" applyNumberFormat="1" applyFont="1" applyFill="1" applyBorder="1" applyAlignment="1">
      <alignment horizontal="center"/>
    </xf>
    <xf numFmtId="1" fontId="0" fillId="0" borderId="3" xfId="0" applyNumberFormat="1" applyBorder="1" applyAlignment="1">
      <alignment horizontal="center"/>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0" xfId="0" applyFont="1" applyAlignment="1">
      <alignment horizontal="center"/>
    </xf>
    <xf numFmtId="168" fontId="0" fillId="0" borderId="0" xfId="0" applyNumberFormat="1" applyFill="1" applyAlignment="1">
      <alignment horizontal="center"/>
    </xf>
    <xf numFmtId="0" fontId="6" fillId="0" borderId="0" xfId="0" applyFont="1" applyFill="1" applyBorder="1" applyAlignment="1">
      <alignment horizontal="center" vertical="center"/>
    </xf>
    <xf numFmtId="0" fontId="4" fillId="0" borderId="0" xfId="0" applyFont="1" applyFill="1" applyBorder="1" applyAlignment="1">
      <alignment horizontal="center" wrapText="1"/>
    </xf>
    <xf numFmtId="0" fontId="1" fillId="0" borderId="2" xfId="0" applyFont="1" applyBorder="1" applyAlignment="1">
      <alignment horizontal="center"/>
    </xf>
    <xf numFmtId="0" fontId="0" fillId="0" borderId="2" xfId="0"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3" xfId="0" applyBorder="1" applyAlignment="1">
      <alignment horizontal="center"/>
    </xf>
    <xf numFmtId="1" fontId="0" fillId="0" borderId="0" xfId="0" applyNumberFormat="1" applyFont="1" applyAlignment="1">
      <alignment horizontal="center"/>
    </xf>
    <xf numFmtId="0" fontId="1" fillId="0" borderId="0" xfId="0" applyFont="1" applyAlignment="1">
      <alignment horizontal="center" vertical="center"/>
    </xf>
    <xf numFmtId="1" fontId="0" fillId="0" borderId="0" xfId="0" applyNumberFormat="1" applyFont="1" applyFill="1" applyAlignment="1">
      <alignment horizontal="center"/>
    </xf>
    <xf numFmtId="168" fontId="8" fillId="0" borderId="0" xfId="0" applyNumberFormat="1" applyFont="1" applyFill="1" applyAlignment="1">
      <alignment horizontal="center"/>
    </xf>
    <xf numFmtId="168" fontId="0" fillId="0" borderId="0" xfId="0" applyNumberFormat="1" applyFont="1" applyFill="1" applyAlignment="1">
      <alignment horizontal="center"/>
    </xf>
    <xf numFmtId="168" fontId="0" fillId="0" borderId="0" xfId="0" applyNumberFormat="1" applyFont="1" applyAlignment="1">
      <alignment horizontal="center"/>
    </xf>
    <xf numFmtId="0" fontId="8" fillId="0" borderId="0" xfId="0" applyFont="1" applyAlignment="1">
      <alignment horizontal="center"/>
    </xf>
    <xf numFmtId="1" fontId="8" fillId="0" borderId="0" xfId="0" applyNumberFormat="1" applyFont="1" applyFill="1" applyAlignment="1">
      <alignment horizontal="center"/>
    </xf>
    <xf numFmtId="168" fontId="0" fillId="0" borderId="0" xfId="0" applyNumberFormat="1" applyFont="1" applyAlignment="1">
      <alignment/>
    </xf>
    <xf numFmtId="2" fontId="0" fillId="0" borderId="0" xfId="0" applyNumberFormat="1" applyFont="1" applyFill="1" applyAlignment="1">
      <alignment horizontal="center"/>
    </xf>
    <xf numFmtId="0" fontId="0" fillId="0" borderId="0" xfId="0" applyNumberFormat="1" applyFont="1" applyFill="1" applyAlignment="1">
      <alignment horizontal="center"/>
    </xf>
    <xf numFmtId="0" fontId="1" fillId="0" borderId="2" xfId="0" applyFont="1" applyBorder="1" applyAlignment="1">
      <alignment horizontal="right"/>
    </xf>
    <xf numFmtId="0" fontId="1" fillId="0" borderId="4" xfId="0" applyFont="1" applyBorder="1" applyAlignment="1">
      <alignment horizontal="right"/>
    </xf>
    <xf numFmtId="0" fontId="0" fillId="6" borderId="2" xfId="0" applyFill="1" applyBorder="1" applyAlignment="1">
      <alignment/>
    </xf>
    <xf numFmtId="0" fontId="0" fillId="0" borderId="5" xfId="0" applyBorder="1" applyAlignment="1">
      <alignment horizontal="center" vertical="center"/>
    </xf>
    <xf numFmtId="0" fontId="1" fillId="9" borderId="1" xfId="0" applyFont="1" applyFill="1" applyBorder="1" applyAlignment="1">
      <alignment horizontal="center" vertical="center" wrapText="1"/>
    </xf>
    <xf numFmtId="0" fontId="7" fillId="0" borderId="0" xfId="0" applyFont="1" applyFill="1" applyAlignment="1">
      <alignment horizontal="center" wrapText="1"/>
    </xf>
    <xf numFmtId="168" fontId="0" fillId="0" borderId="6" xfId="0" applyNumberFormat="1" applyFont="1" applyFill="1" applyBorder="1" applyAlignment="1">
      <alignment horizontal="center"/>
    </xf>
    <xf numFmtId="0" fontId="1" fillId="0" borderId="0" xfId="0" applyFont="1" applyFill="1" applyAlignment="1">
      <alignment horizontal="center" vertical="center" wrapText="1"/>
    </xf>
    <xf numFmtId="0" fontId="1" fillId="0" borderId="2" xfId="0" applyFont="1" applyBorder="1" applyAlignment="1">
      <alignment horizontal="center" vertical="center"/>
    </xf>
    <xf numFmtId="2" fontId="0" fillId="0" borderId="6" xfId="0" applyNumberFormat="1" applyFont="1" applyFill="1" applyBorder="1" applyAlignment="1">
      <alignment horizontal="center"/>
    </xf>
    <xf numFmtId="1" fontId="0" fillId="0" borderId="0" xfId="0" applyNumberFormat="1" applyFont="1" applyBorder="1" applyAlignment="1">
      <alignment horizontal="center"/>
    </xf>
    <xf numFmtId="0" fontId="9" fillId="0" borderId="0" xfId="0" applyFont="1" applyFill="1" applyAlignment="1">
      <alignment horizontal="center"/>
    </xf>
    <xf numFmtId="0" fontId="7" fillId="0" borderId="0" xfId="0" applyFont="1" applyFill="1" applyAlignment="1">
      <alignment horizontal="center"/>
    </xf>
    <xf numFmtId="0" fontId="1" fillId="6"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1" fontId="0" fillId="0" borderId="5" xfId="0" applyNumberFormat="1" applyFont="1" applyFill="1" applyBorder="1" applyAlignment="1">
      <alignment horizontal="center"/>
    </xf>
    <xf numFmtId="1" fontId="0" fillId="0" borderId="0" xfId="0" applyNumberFormat="1" applyAlignment="1">
      <alignment horizontal="center" vertical="center"/>
    </xf>
    <xf numFmtId="0" fontId="6" fillId="10" borderId="9" xfId="0" applyFont="1" applyFill="1" applyBorder="1" applyAlignment="1">
      <alignment horizontal="center" vertical="center"/>
    </xf>
    <xf numFmtId="0" fontId="1" fillId="10" borderId="1" xfId="0" applyFont="1" applyFill="1" applyBorder="1" applyAlignment="1">
      <alignment horizontal="center" vertical="center" wrapText="1"/>
    </xf>
    <xf numFmtId="0" fontId="1" fillId="0" borderId="0" xfId="0" applyFont="1" applyFill="1" applyAlignment="1">
      <alignment horizontal="left"/>
    </xf>
    <xf numFmtId="0" fontId="1" fillId="0" borderId="0" xfId="0" applyFont="1" applyAlignment="1">
      <alignment horizontal="left"/>
    </xf>
    <xf numFmtId="14" fontId="0" fillId="0" borderId="0" xfId="0" applyNumberFormat="1" applyBorder="1" applyAlignment="1">
      <alignment horizontal="center"/>
    </xf>
    <xf numFmtId="2" fontId="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168" fontId="0" fillId="0" borderId="0" xfId="0" applyNumberFormat="1" applyFont="1" applyFill="1" applyBorder="1" applyAlignment="1">
      <alignment horizontal="center"/>
    </xf>
    <xf numFmtId="0" fontId="0" fillId="0" borderId="0" xfId="0" applyFill="1" applyAlignment="1">
      <alignment horizontal="left" vertical="top" wrapText="1"/>
    </xf>
    <xf numFmtId="0" fontId="1" fillId="7" borderId="8" xfId="0" applyFont="1" applyFill="1" applyBorder="1" applyAlignment="1">
      <alignment horizontal="center" vertical="center" wrapText="1"/>
    </xf>
    <xf numFmtId="0" fontId="1" fillId="6" borderId="10" xfId="0" applyFont="1" applyFill="1" applyBorder="1" applyAlignment="1">
      <alignment horizontal="center"/>
    </xf>
    <xf numFmtId="14" fontId="0" fillId="0" borderId="0" xfId="0" applyNumberFormat="1" applyFont="1" applyBorder="1" applyAlignment="1">
      <alignment horizontal="center"/>
    </xf>
    <xf numFmtId="168" fontId="0" fillId="0" borderId="0" xfId="0" applyNumberFormat="1" applyFont="1" applyBorder="1" applyAlignment="1">
      <alignment horizontal="center"/>
    </xf>
    <xf numFmtId="168" fontId="0" fillId="0" borderId="5" xfId="0" applyNumberFormat="1" applyFont="1" applyFill="1" applyBorder="1" applyAlignment="1">
      <alignment horizontal="center"/>
    </xf>
    <xf numFmtId="0" fontId="2" fillId="0" borderId="0" xfId="0" applyFont="1" applyAlignment="1">
      <alignment horizontal="left"/>
    </xf>
    <xf numFmtId="2" fontId="0" fillId="0" borderId="0" xfId="0" applyNumberForma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Fill="1" applyAlignment="1">
      <alignment horizontal="center" vertical="top" wrapText="1"/>
    </xf>
    <xf numFmtId="168" fontId="0" fillId="0" borderId="0" xfId="0" applyNumberFormat="1" applyFill="1" applyBorder="1" applyAlignment="1">
      <alignment horizontal="center"/>
    </xf>
    <xf numFmtId="2" fontId="0" fillId="0" borderId="0" xfId="0" applyNumberFormat="1" applyFont="1" applyFill="1" applyBorder="1" applyAlignment="1">
      <alignment horizontal="center"/>
    </xf>
    <xf numFmtId="1" fontId="1" fillId="0" borderId="0" xfId="0" applyNumberFormat="1" applyFont="1" applyFill="1" applyAlignment="1">
      <alignment horizontal="left"/>
    </xf>
    <xf numFmtId="1" fontId="0" fillId="0" borderId="0" xfId="0" applyNumberFormat="1" applyFill="1" applyAlignment="1">
      <alignment horizontal="center"/>
    </xf>
    <xf numFmtId="1" fontId="0" fillId="0" borderId="0" xfId="0" applyNumberFormat="1" applyFont="1" applyFill="1" applyAlignment="1">
      <alignment/>
    </xf>
    <xf numFmtId="0" fontId="1" fillId="0" borderId="0" xfId="0" applyFont="1" applyFill="1" applyAlignment="1">
      <alignment/>
    </xf>
    <xf numFmtId="2" fontId="1" fillId="0" borderId="0" xfId="0" applyNumberFormat="1" applyFont="1" applyFill="1" applyAlignment="1">
      <alignment horizontal="center"/>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Border="1" applyAlignment="1">
      <alignment/>
    </xf>
    <xf numFmtId="0" fontId="0" fillId="0" borderId="0" xfId="0" applyAlignment="1">
      <alignment wrapText="1"/>
    </xf>
    <xf numFmtId="0" fontId="0" fillId="0" borderId="0" xfId="0" applyFill="1" applyAlignment="1">
      <alignment horizontal="left"/>
    </xf>
    <xf numFmtId="1" fontId="1" fillId="0" borderId="0" xfId="0" applyNumberFormat="1" applyFont="1" applyFill="1" applyAlignment="1">
      <alignment horizontal="center"/>
    </xf>
    <xf numFmtId="168" fontId="1" fillId="0" borderId="0" xfId="0" applyNumberFormat="1" applyFont="1" applyFill="1" applyAlignment="1">
      <alignment horizontal="left"/>
    </xf>
    <xf numFmtId="1" fontId="8" fillId="0" borderId="2" xfId="0" applyNumberFormat="1" applyFont="1" applyFill="1" applyBorder="1" applyAlignment="1">
      <alignment horizontal="center"/>
    </xf>
    <xf numFmtId="1" fontId="1" fillId="0" borderId="0" xfId="0" applyNumberFormat="1" applyFont="1" applyFill="1" applyBorder="1" applyAlignment="1">
      <alignment horizontal="center"/>
    </xf>
    <xf numFmtId="1" fontId="1" fillId="0" borderId="5" xfId="0" applyNumberFormat="1" applyFont="1" applyFill="1" applyBorder="1" applyAlignment="1">
      <alignment horizontal="center"/>
    </xf>
    <xf numFmtId="168" fontId="0" fillId="0" borderId="11" xfId="0" applyNumberFormat="1" applyFont="1" applyFill="1" applyBorder="1" applyAlignment="1">
      <alignment horizontal="center"/>
    </xf>
    <xf numFmtId="1" fontId="0" fillId="0" borderId="11" xfId="0" applyNumberFormat="1" applyFont="1" applyFill="1" applyBorder="1" applyAlignment="1">
      <alignment horizontal="center"/>
    </xf>
    <xf numFmtId="1" fontId="0" fillId="0" borderId="5" xfId="0" applyNumberFormat="1" applyFill="1" applyBorder="1" applyAlignment="1">
      <alignment horizontal="center"/>
    </xf>
    <xf numFmtId="0" fontId="1" fillId="6" borderId="8" xfId="0" applyFont="1" applyFill="1" applyBorder="1" applyAlignment="1">
      <alignment horizontal="center" vertical="center" wrapText="1"/>
    </xf>
    <xf numFmtId="0" fontId="1" fillId="6" borderId="12" xfId="0" applyFont="1" applyFill="1" applyBorder="1" applyAlignment="1">
      <alignment horizontal="center"/>
    </xf>
    <xf numFmtId="1" fontId="1" fillId="6" borderId="13" xfId="0" applyNumberFormat="1" applyFont="1" applyFill="1" applyBorder="1" applyAlignment="1">
      <alignment horizontal="center"/>
    </xf>
    <xf numFmtId="0" fontId="1" fillId="6" borderId="14" xfId="0" applyFont="1" applyFill="1" applyBorder="1" applyAlignment="1">
      <alignment horizontal="center"/>
    </xf>
    <xf numFmtId="0" fontId="2" fillId="0" borderId="0" xfId="0" applyFont="1" applyAlignment="1">
      <alignment horizontal="left" vertical="top" wrapText="1"/>
    </xf>
    <xf numFmtId="168" fontId="1" fillId="0" borderId="0" xfId="0" applyNumberFormat="1" applyFont="1" applyFill="1" applyAlignment="1">
      <alignment horizontal="center" vertical="top" wrapText="1"/>
    </xf>
    <xf numFmtId="1" fontId="1" fillId="6" borderId="6" xfId="0" applyNumberFormat="1" applyFont="1" applyFill="1" applyBorder="1" applyAlignment="1">
      <alignment horizontal="center"/>
    </xf>
    <xf numFmtId="168" fontId="1" fillId="0" borderId="0" xfId="0" applyNumberFormat="1" applyFont="1" applyFill="1" applyBorder="1" applyAlignment="1">
      <alignment horizontal="center" vertical="top" wrapText="1"/>
    </xf>
    <xf numFmtId="168" fontId="1" fillId="0" borderId="4" xfId="0" applyNumberFormat="1" applyFont="1" applyFill="1" applyBorder="1" applyAlignment="1">
      <alignment horizontal="center" vertical="center"/>
    </xf>
    <xf numFmtId="1" fontId="0" fillId="0" borderId="11" xfId="0" applyNumberFormat="1" applyFont="1" applyFill="1" applyBorder="1" applyAlignment="1">
      <alignment horizontal="center" vertical="center"/>
    </xf>
    <xf numFmtId="0" fontId="0" fillId="0" borderId="0" xfId="0" applyBorder="1" applyAlignment="1">
      <alignment horizontal="left"/>
    </xf>
    <xf numFmtId="0" fontId="21" fillId="0" borderId="0" xfId="0" applyFont="1" applyFill="1" applyAlignment="1">
      <alignment horizontal="left" vertical="top" wrapText="1"/>
    </xf>
    <xf numFmtId="1" fontId="0" fillId="0" borderId="0" xfId="0" applyNumberFormat="1" applyFill="1" applyAlignment="1">
      <alignment horizontal="left" vertical="center"/>
    </xf>
    <xf numFmtId="1" fontId="0" fillId="0" borderId="0" xfId="0" applyNumberFormat="1" applyFill="1" applyAlignment="1">
      <alignment horizontal="center" vertical="center"/>
    </xf>
    <xf numFmtId="168" fontId="1" fillId="0" borderId="0" xfId="0" applyNumberFormat="1" applyFont="1" applyFill="1" applyAlignment="1">
      <alignment horizontal="center"/>
    </xf>
    <xf numFmtId="0" fontId="0" fillId="0" borderId="0" xfId="0" applyFill="1" applyAlignment="1">
      <alignment horizontal="left" vertical="center" wrapText="1"/>
    </xf>
    <xf numFmtId="168" fontId="0" fillId="0" borderId="0" xfId="0" applyNumberFormat="1" applyFill="1" applyAlignment="1">
      <alignment/>
    </xf>
    <xf numFmtId="0" fontId="0" fillId="0" borderId="0" xfId="0" applyFill="1" applyAlignment="1">
      <alignment vertical="top" wrapText="1"/>
    </xf>
    <xf numFmtId="0" fontId="11" fillId="9" borderId="1" xfId="0" applyFont="1" applyFill="1" applyBorder="1" applyAlignment="1">
      <alignment horizontal="center" vertical="center" wrapText="1"/>
    </xf>
    <xf numFmtId="0" fontId="1" fillId="6" borderId="2" xfId="0" applyFont="1" applyFill="1" applyBorder="1" applyAlignment="1">
      <alignment horizontal="center"/>
    </xf>
    <xf numFmtId="0" fontId="0" fillId="0" borderId="0" xfId="0" applyBorder="1" applyAlignment="1">
      <alignment horizontal="center" vertical="center"/>
    </xf>
    <xf numFmtId="171" fontId="0" fillId="0" borderId="0" xfId="0" applyNumberFormat="1" applyBorder="1" applyAlignment="1">
      <alignment horizontal="center" vertical="center"/>
    </xf>
    <xf numFmtId="168"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1" fillId="5"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2" fontId="0" fillId="0" borderId="0" xfId="0" applyNumberFormat="1" applyBorder="1" applyAlignment="1">
      <alignment horizontal="center" vertical="center"/>
    </xf>
    <xf numFmtId="171" fontId="0" fillId="0" borderId="0" xfId="0" applyNumberFormat="1" applyAlignment="1">
      <alignment horizontal="center" vertical="center"/>
    </xf>
    <xf numFmtId="168" fontId="0" fillId="0" borderId="0" xfId="0" applyNumberFormat="1" applyFont="1" applyFill="1" applyAlignment="1">
      <alignment horizontal="center" vertical="center"/>
    </xf>
    <xf numFmtId="1" fontId="0" fillId="0" borderId="0" xfId="0" applyNumberFormat="1" applyFont="1" applyFill="1" applyAlignment="1">
      <alignment horizontal="center" vertical="center"/>
    </xf>
    <xf numFmtId="2" fontId="0" fillId="0" borderId="0" xfId="0" applyNumberFormat="1" applyAlignment="1">
      <alignment horizontal="center" vertical="center"/>
    </xf>
    <xf numFmtId="1" fontId="0" fillId="6" borderId="2" xfId="0" applyNumberFormat="1" applyFill="1" applyBorder="1" applyAlignment="1">
      <alignment horizontal="center" vertical="center"/>
    </xf>
    <xf numFmtId="0" fontId="1" fillId="6" borderId="0" xfId="0" applyFont="1" applyFill="1" applyBorder="1" applyAlignment="1">
      <alignment horizontal="center" vertical="center"/>
    </xf>
    <xf numFmtId="168" fontId="0" fillId="0" borderId="0" xfId="0" applyNumberFormat="1" applyFont="1" applyAlignment="1">
      <alignment horizontal="center" vertical="center"/>
    </xf>
    <xf numFmtId="1" fontId="0" fillId="0" borderId="0" xfId="0" applyNumberFormat="1" applyFont="1" applyAlignment="1">
      <alignment horizontal="center" vertical="center"/>
    </xf>
    <xf numFmtId="168" fontId="0" fillId="0" borderId="0" xfId="0" applyNumberFormat="1" applyAlignment="1">
      <alignment horizontal="center" vertical="center"/>
    </xf>
    <xf numFmtId="1" fontId="1" fillId="0" borderId="0" xfId="0" applyNumberFormat="1" applyFont="1" applyFill="1" applyAlignment="1">
      <alignment horizontal="left" vertical="center"/>
    </xf>
    <xf numFmtId="0" fontId="0" fillId="0" borderId="0" xfId="0" applyFill="1" applyAlignment="1">
      <alignment horizontal="center" vertical="center"/>
    </xf>
    <xf numFmtId="0" fontId="1" fillId="0" borderId="0" xfId="0" applyFont="1" applyAlignment="1">
      <alignment/>
    </xf>
    <xf numFmtId="0" fontId="1" fillId="0" borderId="15" xfId="0" applyFont="1" applyBorder="1" applyAlignment="1">
      <alignment horizontal="center"/>
    </xf>
    <xf numFmtId="1" fontId="0" fillId="0" borderId="16" xfId="0" applyNumberFormat="1" applyFont="1" applyBorder="1" applyAlignment="1">
      <alignment horizontal="center"/>
    </xf>
    <xf numFmtId="1" fontId="0" fillId="0" borderId="17" xfId="0" applyNumberFormat="1" applyFill="1" applyBorder="1" applyAlignment="1">
      <alignment horizontal="center"/>
    </xf>
    <xf numFmtId="0" fontId="1" fillId="0" borderId="18" xfId="0" applyFont="1" applyBorder="1" applyAlignment="1">
      <alignment horizontal="center"/>
    </xf>
    <xf numFmtId="1" fontId="0" fillId="0" borderId="19" xfId="0" applyNumberFormat="1" applyFill="1" applyBorder="1" applyAlignment="1">
      <alignment horizontal="center"/>
    </xf>
    <xf numFmtId="0" fontId="1" fillId="0" borderId="20" xfId="0" applyFont="1" applyBorder="1" applyAlignment="1">
      <alignment horizontal="center"/>
    </xf>
    <xf numFmtId="1" fontId="0" fillId="0" borderId="21" xfId="0" applyNumberFormat="1" applyFont="1" applyBorder="1" applyAlignment="1">
      <alignment horizontal="center"/>
    </xf>
    <xf numFmtId="1" fontId="0" fillId="0" borderId="22" xfId="0" applyNumberFormat="1" applyFill="1" applyBorder="1" applyAlignment="1">
      <alignment horizontal="center"/>
    </xf>
    <xf numFmtId="0" fontId="1" fillId="6" borderId="5" xfId="0" applyFont="1" applyFill="1" applyBorder="1" applyAlignment="1">
      <alignment horizontal="center" vertical="center"/>
    </xf>
    <xf numFmtId="0" fontId="1" fillId="6" borderId="2" xfId="0" applyFont="1" applyFill="1" applyBorder="1" applyAlignment="1">
      <alignment horizontal="right" vertical="center"/>
    </xf>
    <xf numFmtId="0" fontId="1" fillId="6" borderId="0" xfId="0" applyFont="1" applyFill="1" applyBorder="1" applyAlignment="1">
      <alignment horizontal="right" vertical="center"/>
    </xf>
    <xf numFmtId="0" fontId="1" fillId="3" borderId="23" xfId="0" applyFont="1" applyFill="1" applyBorder="1" applyAlignment="1">
      <alignment horizontal="center" vertical="center" wrapText="1"/>
    </xf>
    <xf numFmtId="0" fontId="0" fillId="0" borderId="24" xfId="0" applyBorder="1" applyAlignment="1">
      <alignment horizontal="center"/>
    </xf>
    <xf numFmtId="0" fontId="11"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6" borderId="4" xfId="0" applyFont="1" applyFill="1" applyBorder="1" applyAlignment="1">
      <alignment horizontal="right" vertical="center"/>
    </xf>
    <xf numFmtId="0" fontId="1" fillId="6" borderId="3" xfId="0" applyFont="1" applyFill="1" applyBorder="1" applyAlignment="1">
      <alignment horizontal="right" vertical="center"/>
    </xf>
    <xf numFmtId="0" fontId="2" fillId="0" borderId="0" xfId="0" applyFont="1" applyAlignment="1">
      <alignment horizontal="left" vertical="top" wrapText="1"/>
    </xf>
    <xf numFmtId="0" fontId="1" fillId="6" borderId="23" xfId="0" applyFont="1" applyFill="1" applyBorder="1" applyAlignment="1">
      <alignment horizontal="center" vertical="center" wrapText="1"/>
    </xf>
    <xf numFmtId="0" fontId="1" fillId="6" borderId="23" xfId="0" applyFont="1" applyFill="1" applyBorder="1" applyAlignment="1">
      <alignment horizontal="center" vertical="center"/>
    </xf>
    <xf numFmtId="0" fontId="1" fillId="6" borderId="1" xfId="0" applyFont="1" applyFill="1" applyBorder="1" applyAlignment="1">
      <alignment horizontal="center" vertical="center"/>
    </xf>
    <xf numFmtId="0" fontId="1" fillId="10" borderId="8" xfId="0" applyFont="1" applyFill="1" applyBorder="1" applyAlignment="1">
      <alignment horizontal="center" vertical="center" wrapText="1"/>
    </xf>
    <xf numFmtId="0" fontId="6" fillId="10" borderId="25" xfId="0" applyFont="1" applyFill="1" applyBorder="1" applyAlignment="1">
      <alignment horizontal="center" vertical="center"/>
    </xf>
    <xf numFmtId="0" fontId="1" fillId="6" borderId="26" xfId="0" applyFont="1" applyFill="1" applyBorder="1" applyAlignment="1">
      <alignment horizontal="center"/>
    </xf>
    <xf numFmtId="0" fontId="1" fillId="6" borderId="27" xfId="0" applyFont="1" applyFill="1" applyBorder="1" applyAlignment="1">
      <alignment horizontal="center"/>
    </xf>
    <xf numFmtId="0" fontId="6" fillId="10" borderId="28" xfId="0" applyFont="1" applyFill="1" applyBorder="1" applyAlignment="1">
      <alignment horizontal="center" vertical="center"/>
    </xf>
    <xf numFmtId="0" fontId="6" fillId="10" borderId="29" xfId="0" applyFont="1" applyFill="1" applyBorder="1" applyAlignment="1">
      <alignment horizontal="center" vertical="center"/>
    </xf>
    <xf numFmtId="0" fontId="15" fillId="9" borderId="2" xfId="0" applyFont="1" applyFill="1" applyBorder="1" applyAlignment="1">
      <alignment horizontal="center" vertical="center" wrapText="1"/>
    </xf>
    <xf numFmtId="0" fontId="20" fillId="3" borderId="30" xfId="0" applyFont="1" applyFill="1" applyBorder="1" applyAlignment="1">
      <alignment horizontal="left" vertical="center" wrapText="1"/>
    </xf>
    <xf numFmtId="0" fontId="6" fillId="10" borderId="31" xfId="0" applyFont="1" applyFill="1" applyBorder="1" applyAlignment="1">
      <alignment horizontal="center" vertical="center"/>
    </xf>
    <xf numFmtId="0" fontId="6" fillId="10" borderId="27" xfId="0" applyFont="1" applyFill="1" applyBorder="1" applyAlignment="1">
      <alignment horizontal="center" vertical="center"/>
    </xf>
    <xf numFmtId="2" fontId="0" fillId="0" borderId="0" xfId="0" applyNumberFormat="1" applyFill="1" applyBorder="1" applyAlignment="1">
      <alignment/>
    </xf>
    <xf numFmtId="0" fontId="0" fillId="0" borderId="4" xfId="0" applyBorder="1" applyAlignment="1">
      <alignment horizontal="center"/>
    </xf>
    <xf numFmtId="1" fontId="0" fillId="0" borderId="3" xfId="0" applyNumberFormat="1" applyFont="1" applyFill="1" applyBorder="1" applyAlignment="1">
      <alignment horizontal="center"/>
    </xf>
    <xf numFmtId="168" fontId="0" fillId="0" borderId="32" xfId="0" applyNumberFormat="1" applyFont="1" applyFill="1" applyBorder="1" applyAlignment="1">
      <alignment horizontal="center"/>
    </xf>
    <xf numFmtId="168" fontId="0" fillId="0" borderId="3" xfId="0" applyNumberFormat="1" applyFont="1" applyFill="1" applyBorder="1" applyAlignment="1">
      <alignment horizontal="center"/>
    </xf>
    <xf numFmtId="2" fontId="0" fillId="0" borderId="3" xfId="0" applyNumberFormat="1" applyFont="1" applyFill="1" applyBorder="1" applyAlignment="1">
      <alignment horizontal="center"/>
    </xf>
    <xf numFmtId="14" fontId="0" fillId="0" borderId="3" xfId="0" applyNumberFormat="1" applyBorder="1" applyAlignment="1">
      <alignment horizontal="center"/>
    </xf>
    <xf numFmtId="2" fontId="0" fillId="0" borderId="32" xfId="0" applyNumberFormat="1" applyFont="1" applyFill="1" applyBorder="1" applyAlignment="1">
      <alignment horizontal="center"/>
    </xf>
    <xf numFmtId="2" fontId="0" fillId="0" borderId="3" xfId="0" applyNumberFormat="1" applyFont="1" applyFill="1" applyBorder="1" applyAlignment="1">
      <alignment horizontal="center"/>
    </xf>
    <xf numFmtId="0" fontId="0" fillId="10" borderId="33" xfId="0" applyFill="1" applyBorder="1" applyAlignment="1">
      <alignment/>
    </xf>
    <xf numFmtId="0" fontId="0" fillId="0" borderId="3" xfId="0" applyNumberFormat="1" applyFont="1" applyFill="1" applyBorder="1" applyAlignment="1">
      <alignment horizontal="center"/>
    </xf>
    <xf numFmtId="0" fontId="0" fillId="0" borderId="31" xfId="0" applyFill="1" applyBorder="1" applyAlignment="1">
      <alignment horizontal="left" vertical="top" wrapText="1"/>
    </xf>
    <xf numFmtId="0" fontId="0" fillId="0" borderId="31" xfId="0" applyFont="1" applyFill="1" applyBorder="1" applyAlignment="1">
      <alignment horizontal="left" vertical="center" wrapText="1"/>
    </xf>
    <xf numFmtId="0" fontId="20" fillId="3" borderId="34" xfId="0" applyFont="1" applyFill="1" applyBorder="1" applyAlignment="1">
      <alignment horizontal="left" vertical="center" wrapText="1"/>
    </xf>
    <xf numFmtId="0" fontId="0" fillId="8" borderId="0" xfId="0" applyFill="1" applyAlignment="1">
      <alignment vertical="center"/>
    </xf>
    <xf numFmtId="0" fontId="0" fillId="8" borderId="0" xfId="0" applyFill="1" applyAlignment="1">
      <alignment horizontal="center"/>
    </xf>
    <xf numFmtId="0" fontId="1" fillId="6" borderId="25" xfId="0" applyFont="1" applyFill="1" applyBorder="1" applyAlignment="1">
      <alignment horizontal="center" vertical="center" wrapText="1"/>
    </xf>
    <xf numFmtId="1" fontId="1" fillId="0" borderId="0" xfId="0" applyNumberFormat="1" applyFont="1" applyFill="1" applyBorder="1" applyAlignment="1">
      <alignment horizontal="center" vertical="center"/>
    </xf>
    <xf numFmtId="1" fontId="1" fillId="0" borderId="5" xfId="0" applyNumberFormat="1" applyFont="1" applyFill="1" applyBorder="1" applyAlignment="1">
      <alignment horizontal="center" vertical="center"/>
    </xf>
    <xf numFmtId="0" fontId="6" fillId="10" borderId="9" xfId="0" applyFont="1" applyFill="1" applyBorder="1" applyAlignment="1">
      <alignment horizontal="center" vertical="center"/>
    </xf>
    <xf numFmtId="0" fontId="12" fillId="6" borderId="7" xfId="0" applyFont="1" applyFill="1" applyBorder="1" applyAlignment="1">
      <alignment horizontal="center" vertical="center" wrapText="1"/>
    </xf>
    <xf numFmtId="0" fontId="12" fillId="6" borderId="35" xfId="0" applyFont="1" applyFill="1" applyBorder="1" applyAlignment="1">
      <alignment horizontal="center" vertical="center"/>
    </xf>
    <xf numFmtId="0" fontId="12" fillId="6" borderId="1" xfId="0" applyFont="1" applyFill="1" applyBorder="1" applyAlignment="1">
      <alignment horizontal="center" vertical="center"/>
    </xf>
    <xf numFmtId="2" fontId="12" fillId="6" borderId="1" xfId="0" applyNumberFormat="1" applyFont="1" applyFill="1" applyBorder="1" applyAlignment="1">
      <alignment horizontal="center" vertical="center"/>
    </xf>
    <xf numFmtId="0" fontId="12" fillId="6" borderId="13" xfId="0" applyFont="1" applyFill="1" applyBorder="1" applyAlignment="1">
      <alignment horizontal="center" vertical="center"/>
    </xf>
    <xf numFmtId="0" fontId="12" fillId="6" borderId="13"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center" wrapText="1"/>
    </xf>
    <xf numFmtId="0" fontId="0" fillId="0" borderId="0" xfId="0" applyFill="1" applyAlignment="1">
      <alignment vertical="top" wrapText="1"/>
    </xf>
    <xf numFmtId="0" fontId="0" fillId="0" borderId="0" xfId="0" applyAlignment="1">
      <alignment vertical="center"/>
    </xf>
    <xf numFmtId="0" fontId="0" fillId="0" borderId="0" xfId="0" applyFill="1" applyAlignment="1">
      <alignment horizontal="left" vertical="top" wrapText="1"/>
    </xf>
    <xf numFmtId="0" fontId="0" fillId="0" borderId="0" xfId="0" applyAlignment="1">
      <alignment horizontal="left" vertical="top" wrapText="1"/>
    </xf>
    <xf numFmtId="0" fontId="1" fillId="6" borderId="2" xfId="0" applyFont="1" applyFill="1" applyBorder="1" applyAlignment="1">
      <alignment horizontal="center"/>
    </xf>
    <xf numFmtId="0" fontId="1" fillId="6" borderId="0" xfId="0" applyFont="1" applyFill="1" applyBorder="1" applyAlignment="1">
      <alignment horizontal="center"/>
    </xf>
    <xf numFmtId="0" fontId="1" fillId="6" borderId="36" xfId="0" applyFont="1" applyFill="1" applyBorder="1" applyAlignment="1">
      <alignment horizontal="center"/>
    </xf>
    <xf numFmtId="0" fontId="1" fillId="6" borderId="37" xfId="0" applyFont="1" applyFill="1" applyBorder="1" applyAlignment="1">
      <alignment horizontal="center"/>
    </xf>
    <xf numFmtId="0" fontId="1" fillId="6" borderId="6" xfId="0" applyFont="1" applyFill="1" applyBorder="1" applyAlignment="1">
      <alignment horizontal="center"/>
    </xf>
    <xf numFmtId="0" fontId="1" fillId="6" borderId="5" xfId="0" applyFont="1" applyFill="1" applyBorder="1" applyAlignment="1">
      <alignment horizontal="center"/>
    </xf>
    <xf numFmtId="0" fontId="1" fillId="6" borderId="38" xfId="0" applyFont="1" applyFill="1" applyBorder="1" applyAlignment="1">
      <alignment horizontal="center"/>
    </xf>
    <xf numFmtId="0" fontId="1" fillId="6" borderId="30" xfId="0" applyFont="1" applyFill="1" applyBorder="1" applyAlignment="1">
      <alignment horizontal="center"/>
    </xf>
    <xf numFmtId="0" fontId="11" fillId="6" borderId="26"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1" fillId="6" borderId="39"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0" fillId="0" borderId="1" xfId="0" applyBorder="1" applyAlignment="1">
      <alignment horizontal="center" vertical="center"/>
    </xf>
    <xf numFmtId="0" fontId="1" fillId="6" borderId="2"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5" xfId="0" applyFont="1" applyFill="1" applyBorder="1" applyAlignment="1">
      <alignment horizontal="center" vertical="center" wrapText="1"/>
    </xf>
    <xf numFmtId="1" fontId="1" fillId="11" borderId="33" xfId="0" applyNumberFormat="1" applyFont="1" applyFill="1" applyBorder="1" applyAlignment="1" applyProtection="1">
      <alignment horizontal="center" vertical="center" wrapText="1"/>
      <protection locked="0"/>
    </xf>
    <xf numFmtId="0" fontId="1" fillId="7" borderId="23" xfId="0" applyFont="1" applyFill="1" applyBorder="1" applyAlignment="1">
      <alignment horizontal="center" vertical="center"/>
    </xf>
    <xf numFmtId="0" fontId="1" fillId="7" borderId="33" xfId="0" applyFont="1" applyFill="1" applyBorder="1" applyAlignment="1">
      <alignment horizontal="center" vertical="center"/>
    </xf>
    <xf numFmtId="0" fontId="11" fillId="6" borderId="2"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9" borderId="23" xfId="0" applyFont="1" applyFill="1" applyBorder="1" applyAlignment="1">
      <alignment horizontal="center" vertical="center"/>
    </xf>
    <xf numFmtId="0" fontId="1" fillId="9" borderId="33" xfId="0" applyFont="1" applyFill="1" applyBorder="1" applyAlignment="1">
      <alignment horizontal="center" vertical="center"/>
    </xf>
    <xf numFmtId="0" fontId="1" fillId="9" borderId="13" xfId="0" applyFont="1" applyFill="1" applyBorder="1" applyAlignment="1">
      <alignment horizontal="center" vertical="center" wrapText="1"/>
    </xf>
    <xf numFmtId="0" fontId="1" fillId="10" borderId="1" xfId="0" applyFont="1" applyFill="1" applyBorder="1" applyAlignment="1">
      <alignment horizontal="center" vertical="center"/>
    </xf>
    <xf numFmtId="0" fontId="1" fillId="9" borderId="36"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9" borderId="41" xfId="0" applyFont="1" applyFill="1" applyBorder="1" applyAlignment="1">
      <alignment horizontal="center" vertical="center"/>
    </xf>
    <xf numFmtId="0" fontId="1" fillId="5" borderId="7" xfId="0" applyFont="1" applyFill="1" applyBorder="1" applyAlignment="1">
      <alignment horizontal="center" vertical="center" wrapText="1"/>
    </xf>
    <xf numFmtId="0" fontId="1" fillId="10" borderId="28"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10" borderId="4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10" borderId="33" xfId="0" applyFont="1" applyFill="1" applyBorder="1" applyAlignment="1">
      <alignment horizontal="center" vertical="center" wrapText="1"/>
    </xf>
    <xf numFmtId="0" fontId="1" fillId="10" borderId="30" xfId="0" applyFont="1" applyFill="1" applyBorder="1" applyAlignment="1">
      <alignment horizontal="center" vertical="center"/>
    </xf>
    <xf numFmtId="0" fontId="1" fillId="10" borderId="40" xfId="0" applyFont="1" applyFill="1" applyBorder="1" applyAlignment="1">
      <alignment horizontal="center" vertical="center"/>
    </xf>
    <xf numFmtId="0" fontId="1" fillId="9" borderId="8" xfId="0" applyFont="1" applyFill="1" applyBorder="1" applyAlignment="1">
      <alignment horizontal="center" vertical="center"/>
    </xf>
    <xf numFmtId="0" fontId="1" fillId="9" borderId="42" xfId="0" applyFont="1" applyFill="1" applyBorder="1" applyAlignment="1">
      <alignment horizontal="center" vertical="center"/>
    </xf>
    <xf numFmtId="0" fontId="1" fillId="9" borderId="41" xfId="0" applyFont="1" applyFill="1" applyBorder="1" applyAlignment="1">
      <alignment horizontal="center" vertical="center" wrapText="1"/>
    </xf>
    <xf numFmtId="0" fontId="1" fillId="9" borderId="28" xfId="0" applyFont="1" applyFill="1" applyBorder="1" applyAlignment="1">
      <alignment horizontal="center" vertical="center" wrapText="1"/>
    </xf>
    <xf numFmtId="0" fontId="1" fillId="4" borderId="8"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23" xfId="0" applyFont="1" applyFill="1" applyBorder="1" applyAlignment="1">
      <alignment horizontal="center" vertical="center"/>
    </xf>
    <xf numFmtId="0" fontId="15" fillId="3" borderId="33"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5" borderId="23" xfId="0" applyFont="1" applyFill="1" applyBorder="1" applyAlignment="1">
      <alignment horizontal="center" vertical="center"/>
    </xf>
    <xf numFmtId="0" fontId="1" fillId="5" borderId="43" xfId="0" applyFont="1" applyFill="1" applyBorder="1" applyAlignment="1">
      <alignment horizontal="center" vertical="center"/>
    </xf>
    <xf numFmtId="0" fontId="1" fillId="7" borderId="8"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0" borderId="31" xfId="0" applyFont="1" applyBorder="1" applyAlignment="1">
      <alignment horizontal="center" vertical="center"/>
    </xf>
    <xf numFmtId="0" fontId="15" fillId="9" borderId="35" xfId="0" applyFont="1" applyFill="1" applyBorder="1" applyAlignment="1">
      <alignment horizontal="center" vertical="center" wrapText="1"/>
    </xf>
    <xf numFmtId="0" fontId="1" fillId="10" borderId="31" xfId="0" applyFont="1" applyFill="1" applyBorder="1" applyAlignment="1">
      <alignment horizontal="center" vertical="center"/>
    </xf>
    <xf numFmtId="168" fontId="1" fillId="8"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xf>
    <xf numFmtId="0" fontId="1" fillId="4" borderId="3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10" borderId="23" xfId="0" applyFont="1" applyFill="1" applyBorder="1" applyAlignment="1">
      <alignment horizontal="center" vertical="center"/>
    </xf>
    <xf numFmtId="0" fontId="1" fillId="9" borderId="23"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10" borderId="1" xfId="0" applyFont="1" applyFill="1" applyBorder="1" applyAlignment="1">
      <alignment horizontal="center" vertical="center"/>
    </xf>
    <xf numFmtId="0" fontId="12" fillId="10" borderId="1" xfId="0" applyFont="1" applyFill="1" applyBorder="1" applyAlignment="1">
      <alignment horizontal="center" vertical="center" wrapText="1"/>
    </xf>
    <xf numFmtId="0" fontId="1" fillId="9" borderId="40" xfId="0" applyFont="1" applyFill="1" applyBorder="1" applyAlignment="1">
      <alignment horizontal="center" vertical="center"/>
    </xf>
    <xf numFmtId="0" fontId="1" fillId="9" borderId="1" xfId="0" applyFont="1" applyFill="1" applyBorder="1" applyAlignment="1">
      <alignment horizontal="center" vertical="center"/>
    </xf>
    <xf numFmtId="0" fontId="1" fillId="7" borderId="41"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43" xfId="0" applyFont="1" applyFill="1" applyBorder="1" applyAlignment="1">
      <alignment horizontal="center" vertical="center"/>
    </xf>
    <xf numFmtId="0" fontId="12" fillId="9" borderId="1" xfId="0" applyFont="1" applyFill="1" applyBorder="1" applyAlignment="1">
      <alignment horizontal="center" vertical="center"/>
    </xf>
    <xf numFmtId="0" fontId="1" fillId="6" borderId="31" xfId="0" applyFont="1" applyFill="1" applyBorder="1" applyAlignment="1">
      <alignment horizontal="center"/>
    </xf>
    <xf numFmtId="0" fontId="11" fillId="8"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10" borderId="9"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4" borderId="41" xfId="0" applyFont="1" applyFill="1" applyBorder="1" applyAlignment="1">
      <alignment horizontal="center" vertical="center"/>
    </xf>
    <xf numFmtId="0" fontId="0" fillId="8" borderId="31" xfId="0" applyFont="1" applyFill="1" applyBorder="1" applyAlignment="1">
      <alignment horizontal="left" vertical="center" wrapText="1"/>
    </xf>
    <xf numFmtId="2" fontId="1" fillId="6" borderId="26" xfId="0" applyNumberFormat="1" applyFont="1" applyFill="1" applyBorder="1" applyAlignment="1">
      <alignment horizontal="center" vertical="center" wrapText="1"/>
    </xf>
    <xf numFmtId="2" fontId="1" fillId="6" borderId="31" xfId="0" applyNumberFormat="1" applyFont="1" applyFill="1" applyBorder="1" applyAlignment="1">
      <alignment horizontal="center" vertical="center" wrapText="1"/>
    </xf>
    <xf numFmtId="2" fontId="1" fillId="6" borderId="27" xfId="0" applyNumberFormat="1" applyFont="1" applyFill="1" applyBorder="1" applyAlignment="1">
      <alignment horizontal="center" vertical="center" wrapText="1"/>
    </xf>
    <xf numFmtId="2" fontId="1" fillId="6" borderId="10" xfId="0" applyNumberFormat="1" applyFont="1" applyFill="1" applyBorder="1" applyAlignment="1">
      <alignment horizontal="center" vertical="center" wrapText="1"/>
    </xf>
    <xf numFmtId="2" fontId="1" fillId="6" borderId="29" xfId="0" applyNumberFormat="1" applyFont="1" applyFill="1" applyBorder="1" applyAlignment="1">
      <alignment horizontal="center" vertical="center" wrapText="1"/>
    </xf>
    <xf numFmtId="2" fontId="1" fillId="6" borderId="25" xfId="0" applyNumberFormat="1" applyFont="1" applyFill="1" applyBorder="1" applyAlignment="1">
      <alignment horizontal="center" vertical="center" wrapText="1"/>
    </xf>
    <xf numFmtId="0" fontId="12" fillId="10" borderId="13" xfId="0" applyFont="1" applyFill="1" applyBorder="1" applyAlignment="1">
      <alignment horizontal="center" vertical="center" wrapText="1"/>
    </xf>
    <xf numFmtId="0" fontId="1" fillId="3" borderId="1" xfId="0" applyFont="1" applyFill="1" applyBorder="1" applyAlignment="1">
      <alignment horizontal="center" wrapText="1"/>
    </xf>
    <xf numFmtId="0" fontId="1" fillId="10" borderId="1" xfId="0" applyFont="1" applyFill="1" applyBorder="1" applyAlignment="1">
      <alignment horizontal="center" wrapText="1"/>
    </xf>
    <xf numFmtId="0" fontId="0" fillId="0" borderId="8" xfId="0" applyBorder="1" applyAlignment="1">
      <alignment horizontal="center" vertical="center"/>
    </xf>
    <xf numFmtId="0" fontId="15" fillId="10" borderId="31" xfId="0" applyFont="1" applyFill="1" applyBorder="1" applyAlignment="1">
      <alignment horizontal="center" vertical="center"/>
    </xf>
    <xf numFmtId="0" fontId="15" fillId="10" borderId="27" xfId="0" applyFont="1" applyFill="1" applyBorder="1" applyAlignment="1">
      <alignment horizontal="center" vertical="center"/>
    </xf>
    <xf numFmtId="0" fontId="1" fillId="5" borderId="13" xfId="0" applyFont="1" applyFill="1" applyBorder="1" applyAlignment="1">
      <alignment horizontal="center" vertical="center" wrapText="1"/>
    </xf>
    <xf numFmtId="0" fontId="1" fillId="5" borderId="41"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8" borderId="7"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9" xfId="0" applyFont="1" applyFill="1" applyBorder="1" applyAlignment="1">
      <alignment horizontal="center" vertical="center" wrapText="1"/>
    </xf>
    <xf numFmtId="0" fontId="1" fillId="10" borderId="33"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7" xfId="0" applyFont="1" applyFill="1" applyBorder="1" applyAlignment="1">
      <alignment horizontal="center" vertical="center"/>
    </xf>
    <xf numFmtId="0" fontId="1" fillId="7" borderId="23" xfId="0" applyFont="1" applyFill="1" applyBorder="1" applyAlignment="1">
      <alignment horizontal="center" vertical="center" wrapText="1"/>
    </xf>
    <xf numFmtId="0" fontId="1" fillId="3" borderId="1" xfId="0" applyFont="1" applyFill="1" applyBorder="1" applyAlignment="1">
      <alignment horizontal="center"/>
    </xf>
    <xf numFmtId="0" fontId="1" fillId="6" borderId="31" xfId="0" applyFont="1" applyFill="1" applyBorder="1" applyAlignment="1">
      <alignment horizontal="center" vertical="center"/>
    </xf>
    <xf numFmtId="0" fontId="0" fillId="8" borderId="0" xfId="0" applyFill="1" applyAlignment="1">
      <alignment vertical="center" wrapText="1"/>
    </xf>
    <xf numFmtId="0" fontId="0" fillId="8" borderId="0" xfId="0" applyFill="1" applyAlignment="1">
      <alignment horizontal="left"/>
    </xf>
    <xf numFmtId="0" fontId="1" fillId="6" borderId="44" xfId="0" applyFont="1" applyFill="1" applyBorder="1" applyAlignment="1">
      <alignment horizontal="center" vertical="center" wrapText="1"/>
    </xf>
    <xf numFmtId="0" fontId="1" fillId="6" borderId="45"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5" borderId="43" xfId="0" applyFont="1" applyFill="1" applyBorder="1" applyAlignment="1">
      <alignment horizontal="center" vertical="center" wrapText="1"/>
    </xf>
    <xf numFmtId="0" fontId="1" fillId="6" borderId="34" xfId="0" applyFont="1" applyFill="1" applyBorder="1" applyAlignment="1">
      <alignment horizontal="center"/>
    </xf>
    <xf numFmtId="0" fontId="1" fillId="6" borderId="26" xfId="0" applyFont="1" applyFill="1" applyBorder="1" applyAlignment="1">
      <alignment horizontal="center" vertical="center" wrapText="1"/>
    </xf>
    <xf numFmtId="0" fontId="11" fillId="6" borderId="46"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15" fillId="8" borderId="23" xfId="0" applyFont="1" applyFill="1" applyBorder="1" applyAlignment="1">
      <alignment horizontal="center" vertical="center"/>
    </xf>
    <xf numFmtId="0" fontId="15" fillId="8" borderId="43" xfId="0" applyFont="1" applyFill="1" applyBorder="1" applyAlignment="1">
      <alignment horizontal="center" vertical="center"/>
    </xf>
    <xf numFmtId="0" fontId="15" fillId="6" borderId="1" xfId="0" applyFont="1" applyFill="1" applyBorder="1" applyAlignment="1">
      <alignment horizontal="center" vertical="center"/>
    </xf>
    <xf numFmtId="0" fontId="15" fillId="6" borderId="7" xfId="0" applyFont="1" applyFill="1" applyBorder="1" applyAlignment="1">
      <alignment horizontal="center" vertical="center"/>
    </xf>
    <xf numFmtId="0" fontId="1" fillId="6" borderId="10"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0" fillId="4" borderId="1" xfId="0" applyFill="1" applyBorder="1" applyAlignment="1">
      <alignment vertical="center"/>
    </xf>
    <xf numFmtId="0" fontId="10" fillId="0" borderId="2" xfId="0" applyFont="1" applyBorder="1" applyAlignment="1">
      <alignment horizontal="center"/>
    </xf>
    <xf numFmtId="1" fontId="10" fillId="0" borderId="6" xfId="0" applyNumberFormat="1"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1" fontId="10" fillId="0" borderId="6" xfId="0" applyNumberFormat="1" applyFont="1" applyFill="1" applyBorder="1" applyAlignment="1">
      <alignment horizontal="center"/>
    </xf>
    <xf numFmtId="0" fontId="10" fillId="0" borderId="0" xfId="0" applyFont="1" applyFill="1" applyBorder="1" applyAlignment="1">
      <alignment horizontal="center"/>
    </xf>
    <xf numFmtId="0" fontId="10" fillId="0" borderId="5" xfId="0" applyFont="1" applyFill="1" applyBorder="1" applyAlignment="1">
      <alignment horizontal="center"/>
    </xf>
    <xf numFmtId="0" fontId="10" fillId="0" borderId="4" xfId="0" applyFont="1" applyBorder="1" applyAlignment="1">
      <alignment horizontal="center"/>
    </xf>
    <xf numFmtId="1" fontId="10" fillId="0" borderId="32" xfId="0" applyNumberFormat="1" applyFont="1" applyFill="1" applyBorder="1" applyAlignment="1">
      <alignment horizontal="center"/>
    </xf>
    <xf numFmtId="0" fontId="10" fillId="0" borderId="3" xfId="0" applyFont="1" applyFill="1" applyBorder="1" applyAlignment="1">
      <alignment horizontal="center"/>
    </xf>
    <xf numFmtId="0" fontId="10" fillId="0" borderId="11" xfId="0" applyFont="1" applyFill="1" applyBorder="1" applyAlignment="1">
      <alignment horizontal="center"/>
    </xf>
    <xf numFmtId="0" fontId="12" fillId="0" borderId="2" xfId="0" applyFont="1" applyBorder="1" applyAlignment="1">
      <alignment horizontal="center"/>
    </xf>
    <xf numFmtId="0" fontId="12" fillId="0" borderId="6" xfId="0" applyFont="1" applyBorder="1" applyAlignment="1">
      <alignment horizontal="center"/>
    </xf>
    <xf numFmtId="0" fontId="12" fillId="0" borderId="4" xfId="0" applyFont="1" applyBorder="1" applyAlignment="1">
      <alignment horizontal="center"/>
    </xf>
    <xf numFmtId="0" fontId="10" fillId="0" borderId="3" xfId="0" applyFont="1" applyBorder="1" applyAlignment="1">
      <alignment horizontal="center"/>
    </xf>
    <xf numFmtId="0" fontId="12" fillId="0" borderId="32" xfId="0" applyFont="1" applyBorder="1" applyAlignment="1">
      <alignment horizontal="center"/>
    </xf>
    <xf numFmtId="0" fontId="10" fillId="0" borderId="11" xfId="0" applyFont="1" applyBorder="1" applyAlignment="1">
      <alignment horizontal="center"/>
    </xf>
    <xf numFmtId="0" fontId="12" fillId="0" borderId="2" xfId="0" applyFont="1" applyBorder="1" applyAlignment="1">
      <alignment horizontal="right"/>
    </xf>
    <xf numFmtId="1" fontId="10" fillId="0" borderId="5" xfId="0" applyNumberFormat="1" applyFont="1" applyBorder="1" applyAlignment="1">
      <alignment horizontal="center"/>
    </xf>
    <xf numFmtId="0" fontId="12" fillId="0" borderId="4" xfId="0" applyFont="1" applyBorder="1" applyAlignment="1">
      <alignment horizontal="right"/>
    </xf>
    <xf numFmtId="1" fontId="10" fillId="0" borderId="11" xfId="0" applyNumberFormat="1" applyFont="1" applyBorder="1" applyAlignment="1">
      <alignment horizontal="center"/>
    </xf>
    <xf numFmtId="0" fontId="22" fillId="8" borderId="1" xfId="0" applyFont="1" applyFill="1" applyBorder="1" applyAlignment="1">
      <alignment horizontal="center" vertical="center" wrapText="1"/>
    </xf>
    <xf numFmtId="0" fontId="0" fillId="11" borderId="30" xfId="0" applyFont="1" applyFill="1" applyBorder="1" applyAlignment="1">
      <alignment horizontal="center" vertical="center" wrapText="1"/>
    </xf>
    <xf numFmtId="0" fontId="0" fillId="11" borderId="34"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9" borderId="35" xfId="0" applyFont="1" applyFill="1" applyBorder="1" applyAlignment="1">
      <alignment horizontal="center" vertical="center" wrapText="1"/>
    </xf>
    <xf numFmtId="0" fontId="0" fillId="0" borderId="1" xfId="0" applyFont="1" applyBorder="1" applyAlignment="1">
      <alignment horizontal="center" vertical="center"/>
    </xf>
    <xf numFmtId="1" fontId="1" fillId="9" borderId="7" xfId="0" applyNumberFormat="1" applyFont="1" applyFill="1" applyBorder="1" applyAlignment="1">
      <alignment horizontal="center" vertical="center" wrapText="1"/>
    </xf>
    <xf numFmtId="0" fontId="10" fillId="0" borderId="2" xfId="0" applyFont="1" applyFill="1" applyBorder="1" applyAlignment="1">
      <alignment horizontal="center"/>
    </xf>
    <xf numFmtId="14" fontId="10" fillId="0" borderId="0" xfId="0" applyNumberFormat="1" applyFont="1" applyBorder="1" applyAlignment="1">
      <alignment horizontal="center"/>
    </xf>
    <xf numFmtId="1" fontId="10" fillId="0" borderId="0" xfId="0" applyNumberFormat="1" applyFont="1" applyFill="1" applyBorder="1" applyAlignment="1">
      <alignment horizontal="center"/>
    </xf>
    <xf numFmtId="168" fontId="10" fillId="0" borderId="6" xfId="0"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36" xfId="0" applyNumberFormat="1" applyFont="1" applyFill="1" applyBorder="1" applyAlignment="1">
      <alignment horizontal="center"/>
    </xf>
    <xf numFmtId="168" fontId="10" fillId="0" borderId="36" xfId="0" applyNumberFormat="1" applyFont="1" applyBorder="1" applyAlignment="1">
      <alignment horizontal="center"/>
    </xf>
    <xf numFmtId="168" fontId="10" fillId="0" borderId="0" xfId="0" applyNumberFormat="1" applyFont="1" applyBorder="1" applyAlignment="1">
      <alignment horizontal="center"/>
    </xf>
    <xf numFmtId="2" fontId="10" fillId="0" borderId="6" xfId="0" applyNumberFormat="1" applyFont="1" applyBorder="1" applyAlignment="1">
      <alignment horizontal="center"/>
    </xf>
    <xf numFmtId="2" fontId="10" fillId="0" borderId="0" xfId="0" applyNumberFormat="1" applyFont="1" applyBorder="1" applyAlignment="1">
      <alignment horizontal="center"/>
    </xf>
    <xf numFmtId="0" fontId="10" fillId="0" borderId="6" xfId="0" applyFont="1" applyBorder="1" applyAlignment="1">
      <alignment horizontal="center"/>
    </xf>
    <xf numFmtId="0" fontId="10" fillId="0" borderId="0" xfId="0" applyNumberFormat="1" applyFont="1" applyFill="1" applyBorder="1" applyAlignment="1">
      <alignment horizontal="center"/>
    </xf>
    <xf numFmtId="0" fontId="10" fillId="0" borderId="0" xfId="0" applyFont="1" applyFill="1" applyAlignment="1">
      <alignment horizontal="center"/>
    </xf>
    <xf numFmtId="171" fontId="10" fillId="0" borderId="0" xfId="0" applyNumberFormat="1" applyFont="1" applyBorder="1" applyAlignment="1">
      <alignment horizontal="center"/>
    </xf>
    <xf numFmtId="168" fontId="10" fillId="0" borderId="6" xfId="0" applyNumberFormat="1" applyFont="1" applyBorder="1" applyAlignment="1">
      <alignment horizontal="center"/>
    </xf>
    <xf numFmtId="2" fontId="10" fillId="0" borderId="0" xfId="0" applyNumberFormat="1" applyFont="1" applyFill="1" applyBorder="1" applyAlignment="1">
      <alignment horizontal="center"/>
    </xf>
    <xf numFmtId="0" fontId="10" fillId="0" borderId="4" xfId="0" applyFont="1" applyFill="1" applyBorder="1" applyAlignment="1">
      <alignment horizontal="center"/>
    </xf>
    <xf numFmtId="171" fontId="10" fillId="0" borderId="3" xfId="0" applyNumberFormat="1" applyFont="1" applyBorder="1" applyAlignment="1">
      <alignment horizontal="center"/>
    </xf>
    <xf numFmtId="1" fontId="10" fillId="0" borderId="3" xfId="0" applyNumberFormat="1" applyFont="1" applyFill="1" applyBorder="1" applyAlignment="1">
      <alignment horizontal="center"/>
    </xf>
    <xf numFmtId="168" fontId="10" fillId="0" borderId="32" xfId="0" applyNumberFormat="1" applyFont="1" applyFill="1" applyBorder="1" applyAlignment="1">
      <alignment horizontal="center"/>
    </xf>
    <xf numFmtId="168" fontId="10" fillId="0" borderId="3" xfId="0" applyNumberFormat="1" applyFont="1" applyFill="1" applyBorder="1" applyAlignment="1">
      <alignment horizontal="center"/>
    </xf>
    <xf numFmtId="168" fontId="10" fillId="0" borderId="32" xfId="0" applyNumberFormat="1" applyFont="1" applyBorder="1" applyAlignment="1">
      <alignment horizontal="center"/>
    </xf>
    <xf numFmtId="168" fontId="10" fillId="0" borderId="3" xfId="0" applyNumberFormat="1" applyFont="1" applyBorder="1" applyAlignment="1">
      <alignment horizontal="center"/>
    </xf>
    <xf numFmtId="2" fontId="10" fillId="0" borderId="32" xfId="0" applyNumberFormat="1" applyFont="1" applyBorder="1" applyAlignment="1">
      <alignment horizontal="center"/>
    </xf>
    <xf numFmtId="2" fontId="10" fillId="0" borderId="3" xfId="0" applyNumberFormat="1" applyFont="1" applyBorder="1" applyAlignment="1">
      <alignment horizontal="center"/>
    </xf>
    <xf numFmtId="2" fontId="10" fillId="0" borderId="3" xfId="0" applyNumberFormat="1" applyFont="1" applyFill="1" applyBorder="1" applyAlignment="1">
      <alignment horizontal="center"/>
    </xf>
    <xf numFmtId="0" fontId="10" fillId="0" borderId="32" xfId="0" applyFont="1" applyBorder="1" applyAlignment="1">
      <alignment horizontal="center"/>
    </xf>
    <xf numFmtId="168" fontId="10" fillId="0" borderId="6" xfId="0" applyNumberFormat="1" applyFont="1" applyFill="1" applyBorder="1" applyAlignment="1">
      <alignment horizontal="center" vertical="center"/>
    </xf>
    <xf numFmtId="168" fontId="10" fillId="0" borderId="0" xfId="0" applyNumberFormat="1" applyFont="1" applyFill="1" applyBorder="1" applyAlignment="1">
      <alignment horizontal="center" vertical="center"/>
    </xf>
    <xf numFmtId="1" fontId="10" fillId="0" borderId="9"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168" fontId="10" fillId="0" borderId="18" xfId="0" applyNumberFormat="1" applyFont="1" applyBorder="1" applyAlignment="1">
      <alignment horizontal="center" vertical="center"/>
    </xf>
    <xf numFmtId="168" fontId="10" fillId="0" borderId="0" xfId="0" applyNumberFormat="1" applyFont="1" applyBorder="1" applyAlignment="1">
      <alignment horizontal="center" vertical="center"/>
    </xf>
    <xf numFmtId="168" fontId="10" fillId="0" borderId="19" xfId="0" applyNumberFormat="1" applyFont="1" applyBorder="1" applyAlignment="1">
      <alignment horizontal="center" vertical="center"/>
    </xf>
    <xf numFmtId="168" fontId="10" fillId="0" borderId="5" xfId="0" applyNumberFormat="1" applyFont="1" applyFill="1" applyBorder="1" applyAlignment="1">
      <alignment horizontal="center" vertical="center"/>
    </xf>
    <xf numFmtId="1" fontId="10" fillId="0" borderId="6" xfId="0" applyNumberFormat="1" applyFont="1" applyFill="1" applyBorder="1" applyAlignment="1">
      <alignment horizontal="center" vertical="center"/>
    </xf>
    <xf numFmtId="168" fontId="10" fillId="0" borderId="18" xfId="0" applyNumberFormat="1" applyFont="1" applyFill="1" applyBorder="1" applyAlignment="1">
      <alignment horizontal="center" vertical="center"/>
    </xf>
    <xf numFmtId="168" fontId="10" fillId="0" borderId="19" xfId="0" applyNumberFormat="1" applyFont="1" applyFill="1" applyBorder="1" applyAlignment="1">
      <alignment horizontal="center" vertical="center"/>
    </xf>
    <xf numFmtId="2" fontId="10" fillId="0" borderId="5" xfId="0" applyNumberFormat="1" applyFont="1" applyFill="1" applyBorder="1" applyAlignment="1">
      <alignment horizontal="center" vertical="center"/>
    </xf>
    <xf numFmtId="168" fontId="10" fillId="0" borderId="48" xfId="0" applyNumberFormat="1" applyFont="1" applyFill="1" applyBorder="1" applyAlignment="1">
      <alignment horizontal="center" vertical="center"/>
    </xf>
    <xf numFmtId="168" fontId="10" fillId="0" borderId="44" xfId="0" applyNumberFormat="1" applyFont="1" applyFill="1" applyBorder="1" applyAlignment="1">
      <alignment horizontal="center" vertical="center"/>
    </xf>
    <xf numFmtId="168" fontId="10" fillId="0" borderId="32" xfId="0" applyNumberFormat="1" applyFont="1" applyFill="1" applyBorder="1" applyAlignment="1">
      <alignment horizontal="center" vertical="center"/>
    </xf>
    <xf numFmtId="168" fontId="10" fillId="0" borderId="3" xfId="0" applyNumberFormat="1" applyFont="1" applyFill="1" applyBorder="1" applyAlignment="1">
      <alignment horizontal="center" vertical="center"/>
    </xf>
    <xf numFmtId="1" fontId="10" fillId="0" borderId="32" xfId="0" applyNumberFormat="1" applyFont="1" applyFill="1" applyBorder="1" applyAlignment="1">
      <alignment horizontal="center" vertical="center"/>
    </xf>
    <xf numFmtId="1" fontId="10" fillId="0" borderId="3" xfId="0" applyNumberFormat="1" applyFont="1" applyFill="1" applyBorder="1" applyAlignment="1">
      <alignment horizontal="center" vertical="center"/>
    </xf>
    <xf numFmtId="168" fontId="10" fillId="0" borderId="20" xfId="0" applyNumberFormat="1" applyFont="1" applyBorder="1" applyAlignment="1">
      <alignment horizontal="center" vertical="center"/>
    </xf>
    <xf numFmtId="168" fontId="10" fillId="0" borderId="21" xfId="0" applyNumberFormat="1" applyFont="1" applyBorder="1" applyAlignment="1">
      <alignment horizontal="center" vertical="center"/>
    </xf>
    <xf numFmtId="168" fontId="10" fillId="0" borderId="22" xfId="0" applyNumberFormat="1" applyFont="1" applyFill="1" applyBorder="1" applyAlignment="1">
      <alignment horizontal="center" vertical="center"/>
    </xf>
    <xf numFmtId="168" fontId="10" fillId="0" borderId="45" xfId="0" applyNumberFormat="1" applyFont="1" applyFill="1" applyBorder="1" applyAlignment="1">
      <alignment horizontal="center" vertical="center"/>
    </xf>
    <xf numFmtId="1" fontId="12" fillId="0" borderId="2" xfId="0" applyNumberFormat="1" applyFont="1" applyBorder="1" applyAlignment="1">
      <alignment horizontal="center" vertical="center"/>
    </xf>
    <xf numFmtId="0" fontId="10" fillId="0" borderId="6" xfId="0" applyFont="1" applyBorder="1" applyAlignment="1">
      <alignment horizontal="center" vertical="center"/>
    </xf>
    <xf numFmtId="0" fontId="10" fillId="0" borderId="12" xfId="0" applyFont="1" applyBorder="1" applyAlignment="1">
      <alignment horizontal="center" vertical="center"/>
    </xf>
    <xf numFmtId="1" fontId="12" fillId="0" borderId="4" xfId="0" applyNumberFormat="1" applyFont="1" applyBorder="1" applyAlignment="1">
      <alignment horizontal="center" vertical="center"/>
    </xf>
    <xf numFmtId="0" fontId="10" fillId="0" borderId="32" xfId="0" applyFont="1" applyBorder="1" applyAlignment="1">
      <alignment horizontal="center" vertical="center"/>
    </xf>
    <xf numFmtId="0" fontId="10" fillId="0" borderId="49" xfId="0" applyFont="1" applyBorder="1" applyAlignment="1">
      <alignment horizontal="center" vertical="center"/>
    </xf>
    <xf numFmtId="0" fontId="1" fillId="6" borderId="31"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3" borderId="33" xfId="0" applyFont="1" applyFill="1" applyBorder="1" applyAlignment="1">
      <alignment horizontal="center" vertical="center"/>
    </xf>
    <xf numFmtId="0" fontId="1" fillId="3" borderId="40" xfId="0" applyFont="1" applyFill="1" applyBorder="1" applyAlignment="1">
      <alignment horizontal="center" vertical="center"/>
    </xf>
    <xf numFmtId="0" fontId="21" fillId="6" borderId="39" xfId="0" applyFont="1" applyFill="1" applyBorder="1" applyAlignment="1">
      <alignment horizontal="center" vertical="center" wrapText="1"/>
    </xf>
    <xf numFmtId="0" fontId="21" fillId="6" borderId="35"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10" borderId="24" xfId="0" applyFont="1" applyFill="1" applyBorder="1" applyAlignment="1">
      <alignment horizontal="center" vertical="center" wrapText="1"/>
    </xf>
    <xf numFmtId="0" fontId="11" fillId="8" borderId="42" xfId="0" applyFont="1" applyFill="1" applyBorder="1" applyAlignment="1">
      <alignment horizontal="center" vertical="center" wrapText="1"/>
    </xf>
    <xf numFmtId="0" fontId="7" fillId="0" borderId="0" xfId="0" applyFont="1" applyAlignment="1">
      <alignment/>
    </xf>
    <xf numFmtId="0" fontId="7" fillId="0" borderId="0" xfId="0" applyFont="1" applyAlignment="1">
      <alignment horizontal="center"/>
    </xf>
    <xf numFmtId="0" fontId="11" fillId="9" borderId="2"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0" fontId="10" fillId="0" borderId="0" xfId="0" applyFont="1" applyAlignment="1">
      <alignment/>
    </xf>
    <xf numFmtId="0" fontId="10" fillId="0" borderId="0" xfId="0" applyFont="1" applyAlignment="1">
      <alignment horizontal="center"/>
    </xf>
    <xf numFmtId="0" fontId="12" fillId="6" borderId="26" xfId="0" applyFont="1" applyFill="1" applyBorder="1" applyAlignment="1">
      <alignment horizontal="right"/>
    </xf>
    <xf numFmtId="2" fontId="10" fillId="0" borderId="31" xfId="0" applyNumberFormat="1" applyFont="1" applyFill="1" applyBorder="1" applyAlignment="1">
      <alignment horizontal="center"/>
    </xf>
    <xf numFmtId="2" fontId="10" fillId="0" borderId="27" xfId="0" applyNumberFormat="1" applyFont="1" applyFill="1" applyBorder="1" applyAlignment="1">
      <alignment horizontal="center"/>
    </xf>
    <xf numFmtId="0" fontId="12" fillId="6" borderId="2" xfId="0" applyFont="1" applyFill="1" applyBorder="1" applyAlignment="1">
      <alignment horizontal="right"/>
    </xf>
    <xf numFmtId="2" fontId="10" fillId="0" borderId="5" xfId="0" applyNumberFormat="1" applyFont="1" applyFill="1" applyBorder="1" applyAlignment="1">
      <alignment horizontal="center"/>
    </xf>
    <xf numFmtId="0" fontId="12" fillId="6" borderId="4" xfId="0" applyFont="1" applyFill="1" applyBorder="1" applyAlignment="1">
      <alignment horizontal="right"/>
    </xf>
    <xf numFmtId="2" fontId="10" fillId="0" borderId="11" xfId="0" applyNumberFormat="1" applyFont="1" applyFill="1" applyBorder="1" applyAlignment="1">
      <alignment horizontal="center"/>
    </xf>
    <xf numFmtId="2" fontId="10" fillId="0" borderId="0" xfId="0" applyNumberFormat="1" applyFont="1" applyFill="1" applyAlignment="1">
      <alignment horizontal="center"/>
    </xf>
    <xf numFmtId="2" fontId="10" fillId="0" borderId="0" xfId="0" applyNumberFormat="1" applyFont="1" applyAlignment="1">
      <alignment horizontal="center"/>
    </xf>
    <xf numFmtId="0" fontId="19" fillId="3" borderId="30" xfId="0" applyFont="1" applyFill="1" applyBorder="1" applyAlignment="1">
      <alignment horizontal="left" vertical="center" wrapText="1"/>
    </xf>
    <xf numFmtId="0" fontId="11" fillId="3" borderId="8" xfId="0" applyFont="1" applyFill="1" applyBorder="1" applyAlignment="1">
      <alignment horizontal="center" vertical="center" wrapText="1"/>
    </xf>
    <xf numFmtId="0" fontId="0" fillId="0" borderId="42" xfId="0" applyFont="1" applyBorder="1" applyAlignment="1">
      <alignment horizontal="center"/>
    </xf>
    <xf numFmtId="0" fontId="0" fillId="0" borderId="24" xfId="0" applyFont="1" applyBorder="1" applyAlignment="1">
      <alignment horizontal="center"/>
    </xf>
    <xf numFmtId="0" fontId="1" fillId="10" borderId="8" xfId="0" applyFont="1" applyFill="1" applyBorder="1" applyAlignment="1">
      <alignment horizontal="center" vertical="center"/>
    </xf>
    <xf numFmtId="0" fontId="1" fillId="8" borderId="24" xfId="0" applyFont="1" applyFill="1" applyBorder="1" applyAlignment="1">
      <alignment horizontal="center" vertical="center" wrapText="1"/>
    </xf>
    <xf numFmtId="0" fontId="1" fillId="10" borderId="24"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1" fillId="10" borderId="8" xfId="0" applyFont="1" applyFill="1" applyBorder="1" applyAlignment="1">
      <alignment horizontal="center" vertical="center"/>
    </xf>
    <xf numFmtId="0" fontId="1" fillId="10" borderId="42" xfId="0" applyFont="1" applyFill="1" applyBorder="1" applyAlignment="1">
      <alignment horizontal="center" vertical="center"/>
    </xf>
    <xf numFmtId="0" fontId="11" fillId="3" borderId="31" xfId="0" applyFont="1" applyFill="1" applyBorder="1" applyAlignment="1">
      <alignment horizontal="left" vertical="center" wrapText="1"/>
    </xf>
    <xf numFmtId="0" fontId="11" fillId="3" borderId="31" xfId="0" applyFont="1" applyFill="1" applyBorder="1" applyAlignment="1">
      <alignment horizontal="left" vertical="center"/>
    </xf>
    <xf numFmtId="0" fontId="19" fillId="3" borderId="34" xfId="0" applyFont="1" applyFill="1" applyBorder="1" applyAlignment="1">
      <alignment horizontal="left" vertical="center" wrapText="1"/>
    </xf>
    <xf numFmtId="0" fontId="1" fillId="10" borderId="50" xfId="0" applyFont="1" applyFill="1" applyBorder="1" applyAlignment="1">
      <alignment horizontal="center" vertical="center"/>
    </xf>
    <xf numFmtId="0" fontId="23" fillId="9" borderId="7" xfId="0" applyFont="1" applyFill="1" applyBorder="1" applyAlignment="1">
      <alignment horizontal="center" vertical="center" wrapText="1"/>
    </xf>
    <xf numFmtId="0" fontId="10" fillId="8" borderId="2" xfId="0" applyFont="1" applyFill="1" applyBorder="1" applyAlignment="1">
      <alignment horizontal="center"/>
    </xf>
    <xf numFmtId="2" fontId="10" fillId="0" borderId="0" xfId="0" applyNumberFormat="1" applyFont="1" applyAlignment="1">
      <alignment/>
    </xf>
    <xf numFmtId="0" fontId="10" fillId="0" borderId="0" xfId="0" applyFont="1" applyFill="1" applyAlignment="1">
      <alignment/>
    </xf>
    <xf numFmtId="0" fontId="10" fillId="0" borderId="31" xfId="0" applyFont="1" applyBorder="1" applyAlignment="1">
      <alignment horizontal="center"/>
    </xf>
    <xf numFmtId="2" fontId="10" fillId="0" borderId="31" xfId="0" applyNumberFormat="1" applyFont="1" applyBorder="1" applyAlignment="1">
      <alignment horizontal="center"/>
    </xf>
    <xf numFmtId="168" fontId="10" fillId="0" borderId="31" xfId="0" applyNumberFormat="1" applyFont="1" applyBorder="1" applyAlignment="1">
      <alignment horizontal="center"/>
    </xf>
    <xf numFmtId="0" fontId="10" fillId="0" borderId="27" xfId="0" applyFont="1" applyBorder="1" applyAlignment="1">
      <alignment horizontal="center"/>
    </xf>
    <xf numFmtId="2" fontId="10" fillId="0" borderId="5" xfId="0" applyNumberFormat="1" applyFont="1" applyBorder="1" applyAlignment="1">
      <alignment horizontal="center"/>
    </xf>
    <xf numFmtId="0" fontId="1" fillId="10" borderId="42"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3" fillId="9" borderId="7"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23" fillId="9" borderId="41" xfId="0" applyFont="1" applyFill="1" applyBorder="1" applyAlignment="1">
      <alignment horizontal="center" vertical="center" wrapText="1"/>
    </xf>
    <xf numFmtId="0" fontId="23" fillId="9" borderId="5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23" fillId="0" borderId="0" xfId="0" applyFont="1" applyFill="1" applyAlignment="1">
      <alignment horizontal="left" vertical="top" wrapText="1"/>
    </xf>
    <xf numFmtId="0" fontId="23" fillId="0" borderId="0" xfId="0" applyFont="1" applyAlignment="1">
      <alignment horizontal="left"/>
    </xf>
    <xf numFmtId="0" fontId="23" fillId="0" borderId="0" xfId="0" applyFont="1" applyFill="1" applyAlignment="1">
      <alignment horizontal="left" vertical="top" wrapText="1"/>
    </xf>
    <xf numFmtId="0" fontId="11" fillId="3" borderId="33"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9" borderId="35" xfId="0" applyFont="1" applyFill="1" applyBorder="1" applyAlignment="1">
      <alignment horizontal="center" vertical="center" wrapText="1"/>
    </xf>
    <xf numFmtId="0" fontId="23" fillId="9" borderId="24" xfId="0" applyFont="1" applyFill="1" applyBorder="1" applyAlignment="1">
      <alignment horizontal="center" vertical="center" wrapText="1"/>
    </xf>
    <xf numFmtId="0" fontId="11" fillId="8" borderId="50" xfId="0" applyFont="1" applyFill="1" applyBorder="1" applyAlignment="1">
      <alignment horizontal="center" vertical="center" wrapText="1"/>
    </xf>
    <xf numFmtId="0" fontId="0" fillId="0" borderId="1" xfId="0" applyBorder="1" applyAlignment="1">
      <alignment horizontal="center"/>
    </xf>
    <xf numFmtId="0" fontId="1" fillId="0"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24" xfId="0" applyFont="1" applyBorder="1" applyAlignment="1">
      <alignment horizontal="center"/>
    </xf>
    <xf numFmtId="0" fontId="0" fillId="10" borderId="23" xfId="0" applyFill="1" applyBorder="1" applyAlignment="1">
      <alignment horizontal="center" vertical="center"/>
    </xf>
    <xf numFmtId="0" fontId="0" fillId="10" borderId="23" xfId="0" applyFill="1" applyBorder="1" applyAlignment="1">
      <alignment horizontal="center" vertical="center"/>
    </xf>
    <xf numFmtId="0" fontId="11" fillId="9" borderId="35" xfId="0" applyFont="1" applyFill="1" applyBorder="1" applyAlignment="1">
      <alignment horizontal="center" vertical="center" wrapText="1"/>
    </xf>
    <xf numFmtId="0" fontId="11" fillId="3" borderId="33"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40" xfId="0" applyFont="1" applyFill="1" applyBorder="1" applyAlignment="1">
      <alignment horizontal="center" vertical="center"/>
    </xf>
    <xf numFmtId="0" fontId="11" fillId="9" borderId="52" xfId="0" applyFont="1" applyFill="1" applyBorder="1" applyAlignment="1">
      <alignment horizontal="center" vertical="center" wrapText="1"/>
    </xf>
    <xf numFmtId="2" fontId="10" fillId="0" borderId="6" xfId="0" applyNumberFormat="1" applyFont="1" applyFill="1" applyBorder="1" applyAlignment="1">
      <alignment horizontal="center"/>
    </xf>
    <xf numFmtId="168" fontId="10" fillId="0" borderId="5" xfId="0" applyNumberFormat="1" applyFont="1" applyFill="1" applyBorder="1" applyAlignment="1">
      <alignment horizontal="center"/>
    </xf>
    <xf numFmtId="168" fontId="10" fillId="0" borderId="5" xfId="0" applyNumberFormat="1" applyFont="1" applyBorder="1" applyAlignment="1">
      <alignment horizontal="center"/>
    </xf>
    <xf numFmtId="14" fontId="10" fillId="0" borderId="3" xfId="0" applyNumberFormat="1" applyFont="1" applyBorder="1" applyAlignment="1">
      <alignment horizontal="center"/>
    </xf>
    <xf numFmtId="2" fontId="10" fillId="0" borderId="32" xfId="0" applyNumberFormat="1" applyFont="1" applyFill="1" applyBorder="1" applyAlignment="1">
      <alignment horizontal="center"/>
    </xf>
    <xf numFmtId="168" fontId="10" fillId="0" borderId="11" xfId="0" applyNumberFormat="1" applyFont="1" applyBorder="1" applyAlignment="1">
      <alignment horizontal="center"/>
    </xf>
    <xf numFmtId="1" fontId="10" fillId="0" borderId="5" xfId="0" applyNumberFormat="1" applyFont="1" applyFill="1" applyBorder="1" applyAlignment="1">
      <alignment horizontal="center"/>
    </xf>
    <xf numFmtId="1" fontId="10" fillId="0" borderId="32" xfId="0" applyNumberFormat="1" applyFont="1" applyBorder="1" applyAlignment="1">
      <alignment horizontal="center"/>
    </xf>
    <xf numFmtId="1" fontId="10" fillId="0" borderId="3" xfId="0" applyNumberFormat="1" applyFont="1" applyBorder="1" applyAlignment="1">
      <alignment horizontal="center"/>
    </xf>
    <xf numFmtId="168" fontId="10" fillId="0" borderId="11" xfId="0" applyNumberFormat="1" applyFont="1" applyFill="1" applyBorder="1" applyAlignment="1">
      <alignment horizontal="center"/>
    </xf>
    <xf numFmtId="0" fontId="10" fillId="8" borderId="53" xfId="0" applyFont="1" applyFill="1" applyBorder="1" applyAlignment="1">
      <alignment horizontal="center"/>
    </xf>
    <xf numFmtId="14" fontId="10" fillId="0" borderId="37" xfId="0" applyNumberFormat="1" applyFont="1" applyBorder="1" applyAlignment="1">
      <alignment horizontal="center"/>
    </xf>
    <xf numFmtId="1" fontId="10" fillId="0" borderId="37" xfId="0" applyNumberFormat="1" applyFont="1" applyFill="1" applyBorder="1" applyAlignment="1">
      <alignment horizontal="center"/>
    </xf>
    <xf numFmtId="2" fontId="10" fillId="0" borderId="37" xfId="0" applyNumberFormat="1" applyFont="1" applyFill="1" applyBorder="1" applyAlignment="1">
      <alignment horizontal="center"/>
    </xf>
    <xf numFmtId="0" fontId="10" fillId="0" borderId="13" xfId="0" applyFont="1" applyFill="1" applyBorder="1" applyAlignment="1">
      <alignment horizontal="center"/>
    </xf>
    <xf numFmtId="0" fontId="10" fillId="0" borderId="37" xfId="0" applyNumberFormat="1" applyFont="1" applyFill="1" applyBorder="1" applyAlignment="1">
      <alignment horizontal="center"/>
    </xf>
    <xf numFmtId="0" fontId="10" fillId="0" borderId="37" xfId="0" applyFont="1" applyBorder="1" applyAlignment="1">
      <alignment horizontal="center"/>
    </xf>
    <xf numFmtId="0" fontId="10" fillId="0" borderId="37" xfId="0" applyFont="1" applyBorder="1" applyAlignment="1">
      <alignment horizontal="center"/>
    </xf>
    <xf numFmtId="168" fontId="10" fillId="0" borderId="37" xfId="0" applyNumberFormat="1" applyFont="1" applyFill="1" applyBorder="1" applyAlignment="1">
      <alignment horizontal="center"/>
    </xf>
    <xf numFmtId="168" fontId="10" fillId="0" borderId="37" xfId="0" applyNumberFormat="1" applyFont="1" applyBorder="1" applyAlignment="1">
      <alignment horizontal="center"/>
    </xf>
    <xf numFmtId="168" fontId="10" fillId="0" borderId="54" xfId="0" applyNumberFormat="1" applyFont="1" applyBorder="1" applyAlignment="1">
      <alignment horizontal="center"/>
    </xf>
    <xf numFmtId="0" fontId="10" fillId="0" borderId="14" xfId="0" applyFont="1" applyFill="1" applyBorder="1" applyAlignment="1">
      <alignment horizontal="center"/>
    </xf>
    <xf numFmtId="168" fontId="12" fillId="8" borderId="0" xfId="0" applyNumberFormat="1" applyFont="1" applyFill="1" applyBorder="1" applyAlignment="1">
      <alignment horizontal="center"/>
    </xf>
    <xf numFmtId="0" fontId="10" fillId="0" borderId="55" xfId="0" applyFont="1" applyFill="1" applyBorder="1" applyAlignment="1">
      <alignment horizontal="center"/>
    </xf>
    <xf numFmtId="0" fontId="10" fillId="8" borderId="2" xfId="0" applyFont="1" applyFill="1" applyBorder="1" applyAlignment="1">
      <alignment horizontal="center" vertical="center"/>
    </xf>
    <xf numFmtId="14" fontId="10" fillId="0" borderId="0" xfId="0" applyNumberFormat="1" applyFont="1" applyBorder="1" applyAlignment="1">
      <alignment horizontal="center" vertical="center"/>
    </xf>
    <xf numFmtId="2" fontId="10" fillId="0" borderId="0" xfId="0" applyNumberFormat="1"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Font="1" applyBorder="1" applyAlignment="1">
      <alignment horizontal="center" vertical="center"/>
    </xf>
    <xf numFmtId="2" fontId="10" fillId="0" borderId="6" xfId="0" applyNumberFormat="1" applyFont="1" applyFill="1" applyBorder="1" applyAlignment="1">
      <alignment horizontal="center" vertical="center"/>
    </xf>
    <xf numFmtId="168" fontId="10" fillId="8" borderId="0" xfId="0" applyNumberFormat="1" applyFont="1" applyFill="1" applyBorder="1" applyAlignment="1">
      <alignment horizontal="left" vertical="center"/>
    </xf>
    <xf numFmtId="168" fontId="10" fillId="8" borderId="0" xfId="0" applyNumberFormat="1" applyFont="1" applyFill="1" applyBorder="1" applyAlignment="1">
      <alignment horizontal="center" vertical="center"/>
    </xf>
    <xf numFmtId="168" fontId="10" fillId="8" borderId="5" xfId="0" applyNumberFormat="1"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center" vertical="center"/>
    </xf>
    <xf numFmtId="167" fontId="10" fillId="0" borderId="0" xfId="0" applyNumberFormat="1" applyFont="1" applyFill="1" applyBorder="1" applyAlignment="1">
      <alignment horizontal="center"/>
    </xf>
    <xf numFmtId="167" fontId="10" fillId="0" borderId="56" xfId="0" applyNumberFormat="1" applyFont="1" applyFill="1" applyBorder="1" applyAlignment="1">
      <alignment horizontal="center"/>
    </xf>
    <xf numFmtId="0" fontId="10" fillId="0" borderId="57" xfId="0" applyFont="1" applyFill="1" applyBorder="1" applyAlignment="1">
      <alignment horizontal="center"/>
    </xf>
    <xf numFmtId="2" fontId="10" fillId="0" borderId="0" xfId="0" applyNumberFormat="1" applyFont="1" applyBorder="1" applyAlignment="1">
      <alignment horizontal="center" vertical="center"/>
    </xf>
    <xf numFmtId="0" fontId="10" fillId="0" borderId="58" xfId="0" applyFont="1" applyFill="1" applyBorder="1" applyAlignment="1">
      <alignment horizontal="center"/>
    </xf>
    <xf numFmtId="167" fontId="10" fillId="0" borderId="59" xfId="0" applyNumberFormat="1" applyFont="1" applyFill="1" applyBorder="1" applyAlignment="1">
      <alignment horizontal="center"/>
    </xf>
    <xf numFmtId="0" fontId="10" fillId="0" borderId="59" xfId="0" applyFont="1" applyFill="1" applyBorder="1" applyAlignment="1">
      <alignment horizontal="center"/>
    </xf>
    <xf numFmtId="167" fontId="10" fillId="0" borderId="3" xfId="0" applyNumberFormat="1" applyFont="1" applyFill="1" applyBorder="1" applyAlignment="1">
      <alignment horizontal="center"/>
    </xf>
    <xf numFmtId="0" fontId="10" fillId="0" borderId="36" xfId="0" applyFont="1" applyBorder="1" applyAlignment="1">
      <alignment horizontal="center"/>
    </xf>
    <xf numFmtId="168" fontId="10" fillId="0" borderId="48" xfId="0" applyNumberFormat="1" applyFont="1" applyBorder="1" applyAlignment="1">
      <alignment horizontal="center"/>
    </xf>
    <xf numFmtId="168" fontId="10" fillId="0" borderId="44" xfId="0" applyNumberFormat="1" applyFont="1" applyBorder="1" applyAlignment="1">
      <alignment horizontal="center"/>
    </xf>
    <xf numFmtId="1" fontId="10" fillId="0" borderId="44" xfId="0" applyNumberFormat="1" applyFont="1" applyBorder="1" applyAlignment="1">
      <alignment horizontal="center"/>
    </xf>
    <xf numFmtId="0" fontId="10" fillId="0" borderId="44" xfId="0" applyFont="1" applyBorder="1" applyAlignment="1">
      <alignment horizontal="center"/>
    </xf>
    <xf numFmtId="0" fontId="10" fillId="0" borderId="45" xfId="0" applyFont="1" applyBorder="1" applyAlignment="1">
      <alignment horizontal="center"/>
    </xf>
    <xf numFmtId="168" fontId="10" fillId="0" borderId="45" xfId="0" applyNumberFormat="1" applyFont="1" applyBorder="1" applyAlignment="1">
      <alignment horizontal="center"/>
    </xf>
    <xf numFmtId="0" fontId="11" fillId="10" borderId="23" xfId="0" applyFont="1" applyFill="1" applyBorder="1" applyAlignment="1">
      <alignment horizontal="center" vertical="center" wrapText="1"/>
    </xf>
    <xf numFmtId="0" fontId="11" fillId="9" borderId="35" xfId="0" applyFont="1" applyFill="1" applyBorder="1" applyAlignment="1">
      <alignment horizontal="center" vertical="center"/>
    </xf>
    <xf numFmtId="15" fontId="10" fillId="0" borderId="0" xfId="0" applyNumberFormat="1" applyFont="1" applyBorder="1" applyAlignment="1">
      <alignment horizontal="center"/>
    </xf>
    <xf numFmtId="1" fontId="10" fillId="0" borderId="0" xfId="0" applyNumberFormat="1" applyFont="1" applyBorder="1" applyAlignment="1">
      <alignment horizontal="center"/>
    </xf>
    <xf numFmtId="0" fontId="10" fillId="0" borderId="6" xfId="0" applyFont="1" applyBorder="1" applyAlignment="1">
      <alignment horizontal="center" vertical="top"/>
    </xf>
    <xf numFmtId="0" fontId="10" fillId="0" borderId="60" xfId="0" applyFont="1" applyBorder="1" applyAlignment="1">
      <alignment horizontal="center"/>
    </xf>
    <xf numFmtId="0" fontId="10" fillId="0" borderId="14" xfId="0" applyFont="1" applyBorder="1" applyAlignment="1">
      <alignment horizontal="center"/>
    </xf>
    <xf numFmtId="6" fontId="10" fillId="0" borderId="60" xfId="0" applyNumberFormat="1" applyFont="1" applyBorder="1" applyAlignment="1">
      <alignment horizontal="center"/>
    </xf>
    <xf numFmtId="15" fontId="10" fillId="0" borderId="5" xfId="0" applyNumberFormat="1" applyFont="1" applyBorder="1" applyAlignment="1">
      <alignment horizontal="center"/>
    </xf>
    <xf numFmtId="0" fontId="10" fillId="0" borderId="6" xfId="0" applyFont="1" applyFill="1" applyBorder="1" applyAlignment="1">
      <alignment horizontal="center" vertical="top"/>
    </xf>
    <xf numFmtId="0" fontId="10" fillId="0" borderId="60" xfId="0" applyFont="1" applyFill="1" applyBorder="1" applyAlignment="1">
      <alignment horizontal="center"/>
    </xf>
    <xf numFmtId="0" fontId="10" fillId="0" borderId="61" xfId="0" applyFont="1" applyBorder="1" applyAlignment="1">
      <alignment horizontal="center"/>
    </xf>
    <xf numFmtId="0" fontId="10" fillId="0" borderId="55" xfId="0" applyFont="1" applyBorder="1" applyAlignment="1">
      <alignment horizontal="center"/>
    </xf>
    <xf numFmtId="0" fontId="11" fillId="3" borderId="23"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10" borderId="23" xfId="0" applyFont="1" applyFill="1" applyBorder="1" applyAlignment="1">
      <alignment horizontal="center" vertical="center"/>
    </xf>
    <xf numFmtId="0" fontId="11" fillId="9" borderId="23" xfId="0" applyFont="1" applyFill="1" applyBorder="1" applyAlignment="1">
      <alignment horizontal="center" vertical="center" wrapText="1"/>
    </xf>
    <xf numFmtId="0" fontId="11" fillId="10" borderId="43"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10" borderId="1" xfId="0" applyFont="1" applyFill="1" applyBorder="1" applyAlignment="1">
      <alignment horizontal="center" vertical="center"/>
    </xf>
    <xf numFmtId="0" fontId="11" fillId="10" borderId="7" xfId="0" applyFont="1" applyFill="1" applyBorder="1" applyAlignment="1">
      <alignment horizontal="center" vertical="center"/>
    </xf>
    <xf numFmtId="0" fontId="7" fillId="0" borderId="0" xfId="0" applyFont="1" applyAlignment="1">
      <alignment horizontal="center" vertical="center"/>
    </xf>
    <xf numFmtId="0" fontId="0" fillId="8" borderId="31" xfId="0" applyFill="1" applyBorder="1" applyAlignment="1">
      <alignment vertical="center" wrapText="1"/>
    </xf>
    <xf numFmtId="0" fontId="11" fillId="9" borderId="2" xfId="0" applyFont="1" applyFill="1" applyBorder="1" applyAlignment="1">
      <alignment horizontal="center" vertical="center"/>
    </xf>
    <xf numFmtId="1" fontId="10" fillId="0" borderId="14" xfId="0" applyNumberFormat="1" applyFont="1" applyFill="1" applyBorder="1" applyAlignment="1">
      <alignment horizontal="center"/>
    </xf>
    <xf numFmtId="1" fontId="10" fillId="0" borderId="14" xfId="0" applyNumberFormat="1" applyFont="1" applyBorder="1" applyAlignment="1">
      <alignment horizontal="center"/>
    </xf>
    <xf numFmtId="0" fontId="10" fillId="0" borderId="12" xfId="0" applyFont="1" applyBorder="1" applyAlignment="1">
      <alignment horizontal="center"/>
    </xf>
    <xf numFmtId="1" fontId="10" fillId="0" borderId="12" xfId="0" applyNumberFormat="1" applyFont="1" applyBorder="1" applyAlignment="1">
      <alignment horizontal="center"/>
    </xf>
    <xf numFmtId="1" fontId="10" fillId="0" borderId="48" xfId="0" applyNumberFormat="1" applyFont="1" applyBorder="1" applyAlignment="1">
      <alignment horizontal="center"/>
    </xf>
    <xf numFmtId="1" fontId="10" fillId="0" borderId="45" xfId="0" applyNumberFormat="1" applyFont="1" applyBorder="1" applyAlignment="1">
      <alignment horizontal="center"/>
    </xf>
    <xf numFmtId="1" fontId="12" fillId="0" borderId="2" xfId="0" applyNumberFormat="1" applyFont="1" applyFill="1" applyBorder="1" applyAlignment="1">
      <alignment horizontal="center"/>
    </xf>
    <xf numFmtId="1" fontId="12" fillId="0" borderId="2" xfId="0" applyNumberFormat="1" applyFont="1" applyBorder="1" applyAlignment="1">
      <alignment horizontal="center"/>
    </xf>
    <xf numFmtId="9" fontId="10" fillId="0" borderId="4" xfId="0" applyNumberFormat="1" applyFont="1" applyBorder="1" applyAlignment="1">
      <alignment horizontal="center"/>
    </xf>
    <xf numFmtId="9" fontId="10" fillId="0" borderId="11" xfId="0" applyNumberFormat="1" applyFont="1" applyBorder="1" applyAlignment="1">
      <alignment horizontal="center"/>
    </xf>
    <xf numFmtId="0" fontId="10" fillId="0" borderId="6" xfId="0" applyFont="1" applyFill="1" applyBorder="1" applyAlignment="1">
      <alignment horizontal="center"/>
    </xf>
    <xf numFmtId="2" fontId="10" fillId="0" borderId="60" xfId="0" applyNumberFormat="1" applyFont="1" applyFill="1" applyBorder="1" applyAlignment="1">
      <alignment horizontal="center"/>
    </xf>
    <xf numFmtId="0" fontId="10" fillId="0" borderId="37" xfId="0" applyFont="1"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4" fontId="10" fillId="0" borderId="6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Alignment="1">
      <alignment vertical="center"/>
    </xf>
    <xf numFmtId="0" fontId="10" fillId="0" borderId="32" xfId="0" applyFont="1" applyFill="1" applyBorder="1" applyAlignment="1">
      <alignment horizontal="center"/>
    </xf>
    <xf numFmtId="2" fontId="10" fillId="0" borderId="61" xfId="0" applyNumberFormat="1" applyFont="1" applyFill="1" applyBorder="1" applyAlignment="1">
      <alignment horizontal="center"/>
    </xf>
    <xf numFmtId="0" fontId="12" fillId="0" borderId="2" xfId="0" applyFont="1" applyFill="1" applyBorder="1" applyAlignment="1">
      <alignment horizontal="right"/>
    </xf>
    <xf numFmtId="0" fontId="12" fillId="0" borderId="2" xfId="0" applyFont="1" applyFill="1" applyBorder="1" applyAlignment="1">
      <alignment horizontal="right" vertical="center"/>
    </xf>
    <xf numFmtId="0" fontId="12" fillId="0" borderId="4" xfId="0" applyFont="1" applyFill="1" applyBorder="1" applyAlignment="1">
      <alignment horizontal="right"/>
    </xf>
    <xf numFmtId="0" fontId="11" fillId="9" borderId="1"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4"/>
  <sheetViews>
    <sheetView tabSelected="1" workbookViewId="0" topLeftCell="A13">
      <selection activeCell="L27" sqref="L27"/>
    </sheetView>
  </sheetViews>
  <sheetFormatPr defaultColWidth="9.140625" defaultRowHeight="12"/>
  <cols>
    <col min="1" max="1" width="13.28125" style="0" customWidth="1"/>
    <col min="4" max="4" width="12.8515625" style="0" customWidth="1"/>
    <col min="6" max="6" width="13.421875" style="0" customWidth="1"/>
  </cols>
  <sheetData>
    <row r="1" ht="25.5" customHeight="1">
      <c r="A1" s="22" t="s">
        <v>110</v>
      </c>
    </row>
    <row r="2" spans="1:7" ht="63" customHeight="1">
      <c r="A2" s="216" t="s">
        <v>241</v>
      </c>
      <c r="B2" s="218"/>
      <c r="C2" s="218"/>
      <c r="D2" s="218"/>
      <c r="E2" s="218"/>
      <c r="F2" s="218"/>
      <c r="G2" s="218"/>
    </row>
    <row r="4" spans="1:7" ht="23.25" customHeight="1">
      <c r="A4" s="215" t="s">
        <v>231</v>
      </c>
      <c r="B4" s="215"/>
      <c r="C4" s="215"/>
      <c r="D4" s="215"/>
      <c r="E4" s="215"/>
      <c r="F4" s="215"/>
      <c r="G4" s="215"/>
    </row>
    <row r="5" spans="1:7" ht="10.5">
      <c r="A5" s="109"/>
      <c r="B5" s="109"/>
      <c r="C5" s="109"/>
      <c r="D5" s="109"/>
      <c r="E5" s="109"/>
      <c r="F5" s="109"/>
      <c r="G5" s="109"/>
    </row>
    <row r="6" spans="1:7" ht="23.25" customHeight="1">
      <c r="A6" s="220" t="s">
        <v>187</v>
      </c>
      <c r="B6" s="220"/>
      <c r="C6" s="220"/>
      <c r="D6" s="220"/>
      <c r="E6" s="220"/>
      <c r="F6" s="220"/>
      <c r="G6" s="220"/>
    </row>
    <row r="8" spans="1:7" ht="10.5">
      <c r="A8" s="217" t="s">
        <v>208</v>
      </c>
      <c r="B8" s="217"/>
      <c r="C8" s="217"/>
      <c r="D8" s="217"/>
      <c r="E8" s="217"/>
      <c r="F8" s="217"/>
      <c r="G8" s="217"/>
    </row>
    <row r="9" spans="1:7" ht="10.5">
      <c r="A9" s="217"/>
      <c r="B9" s="217"/>
      <c r="C9" s="217"/>
      <c r="D9" s="217"/>
      <c r="E9" s="217"/>
      <c r="F9" s="217"/>
      <c r="G9" s="217"/>
    </row>
    <row r="10" spans="1:7" ht="10.5" customHeight="1">
      <c r="A10" s="217"/>
      <c r="B10" s="217"/>
      <c r="C10" s="217"/>
      <c r="D10" s="217"/>
      <c r="E10" s="217"/>
      <c r="F10" s="217"/>
      <c r="G10" s="217"/>
    </row>
    <row r="11" spans="1:7" ht="10.5">
      <c r="A11" s="109"/>
      <c r="B11" s="109"/>
      <c r="C11" s="109"/>
      <c r="D11" s="109"/>
      <c r="E11" s="109"/>
      <c r="F11" s="109"/>
      <c r="G11" s="109"/>
    </row>
    <row r="12" spans="1:7" ht="42" customHeight="1">
      <c r="A12" s="219" t="s">
        <v>232</v>
      </c>
      <c r="B12" s="219"/>
      <c r="C12" s="219"/>
      <c r="D12" s="219"/>
      <c r="E12" s="219"/>
      <c r="F12" s="219"/>
      <c r="G12" s="219"/>
    </row>
    <row r="13" spans="1:7" ht="10.5">
      <c r="A13" s="109"/>
      <c r="B13" s="109"/>
      <c r="C13" s="109"/>
      <c r="D13" s="109"/>
      <c r="E13" s="109"/>
      <c r="F13" s="109"/>
      <c r="G13" s="109"/>
    </row>
    <row r="14" spans="1:7" ht="24" customHeight="1">
      <c r="A14" s="217" t="s">
        <v>233</v>
      </c>
      <c r="B14" s="217"/>
      <c r="C14" s="217"/>
      <c r="D14" s="217"/>
      <c r="E14" s="217"/>
      <c r="F14" s="217"/>
      <c r="G14" s="217"/>
    </row>
    <row r="16" spans="1:7" ht="27" customHeight="1">
      <c r="A16" s="215" t="s">
        <v>188</v>
      </c>
      <c r="B16" s="215"/>
      <c r="C16" s="215"/>
      <c r="D16" s="215"/>
      <c r="E16" s="215"/>
      <c r="F16" s="215"/>
      <c r="G16" s="215"/>
    </row>
    <row r="18" spans="1:7" ht="46.5" customHeight="1">
      <c r="A18" s="216" t="s">
        <v>203</v>
      </c>
      <c r="B18" s="216"/>
      <c r="C18" s="216"/>
      <c r="D18" s="216"/>
      <c r="E18" s="216"/>
      <c r="F18" s="216"/>
      <c r="G18" s="216"/>
    </row>
    <row r="20" spans="1:7" ht="24" customHeight="1">
      <c r="A20" s="216" t="s">
        <v>189</v>
      </c>
      <c r="B20" s="216"/>
      <c r="C20" s="216"/>
      <c r="D20" s="216"/>
      <c r="E20" s="216"/>
      <c r="F20" s="216"/>
      <c r="G20" s="216"/>
    </row>
    <row r="22" spans="1:7" ht="33" customHeight="1">
      <c r="A22" s="215" t="s">
        <v>191</v>
      </c>
      <c r="B22" s="215"/>
      <c r="C22" s="215"/>
      <c r="D22" s="215"/>
      <c r="E22" s="215"/>
      <c r="F22" s="215"/>
      <c r="G22" s="215"/>
    </row>
    <row r="24" ht="10.5">
      <c r="A24" t="s">
        <v>190</v>
      </c>
    </row>
  </sheetData>
  <mergeCells count="10">
    <mergeCell ref="A14:G14"/>
    <mergeCell ref="A2:G2"/>
    <mergeCell ref="A4:G4"/>
    <mergeCell ref="A12:G12"/>
    <mergeCell ref="A8:G10"/>
    <mergeCell ref="A6:G6"/>
    <mergeCell ref="A22:G22"/>
    <mergeCell ref="A16:G16"/>
    <mergeCell ref="A18:G18"/>
    <mergeCell ref="A20:G20"/>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W2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F11" sqref="F11"/>
    </sheetView>
  </sheetViews>
  <sheetFormatPr defaultColWidth="9.140625" defaultRowHeight="12"/>
  <cols>
    <col min="1" max="1" width="19.7109375" style="0" customWidth="1"/>
    <col min="2" max="2" width="17.421875" style="0" customWidth="1"/>
    <col min="3" max="4" width="12.00390625" style="0" customWidth="1"/>
    <col min="5" max="5" width="13.8515625" style="0" customWidth="1"/>
    <col min="6" max="6" width="14.8515625" style="0" customWidth="1"/>
    <col min="7" max="7" width="19.28125" style="0" customWidth="1"/>
    <col min="8" max="12" width="20.8515625" style="0" customWidth="1"/>
    <col min="13" max="13" width="13.8515625" style="0" customWidth="1"/>
    <col min="14" max="15" width="12.00390625" style="0" customWidth="1"/>
    <col min="16" max="16" width="15.421875" style="0" customWidth="1"/>
    <col min="17" max="17" width="19.140625" style="0" customWidth="1"/>
    <col min="18" max="18" width="17.421875" style="0" customWidth="1"/>
    <col min="19" max="19" width="15.28125" style="0" customWidth="1"/>
    <col min="20" max="20" width="13.28125" style="0" customWidth="1"/>
    <col min="21" max="21" width="13.7109375" style="0" customWidth="1"/>
    <col min="22" max="22" width="15.8515625" style="0" customWidth="1"/>
    <col min="23" max="23" width="12.00390625" style="0" customWidth="1"/>
    <col min="24" max="24" width="18.140625" style="0" customWidth="1"/>
    <col min="25" max="25" width="19.00390625" style="0" customWidth="1"/>
    <col min="26" max="27" width="12.00390625" style="0" customWidth="1"/>
    <col min="28" max="28" width="13.28125" style="0" customWidth="1"/>
    <col min="29" max="29" width="14.421875" style="0" customWidth="1"/>
    <col min="30" max="30" width="12.00390625" style="0" customWidth="1"/>
    <col min="31" max="35" width="20.8515625" style="0" customWidth="1"/>
    <col min="36" max="36" width="14.8515625" style="0" customWidth="1"/>
    <col min="37" max="38" width="12.00390625" style="0" customWidth="1"/>
    <col min="39" max="39" width="16.8515625" style="0" customWidth="1"/>
    <col min="40" max="40" width="18.00390625" style="0" customWidth="1"/>
    <col min="41" max="41" width="15.28125" style="0" customWidth="1"/>
    <col min="42" max="42" width="15.8515625" style="0" customWidth="1"/>
    <col min="43" max="43" width="12.7109375" style="0" customWidth="1"/>
    <col min="44" max="44" width="12.00390625" style="0" customWidth="1"/>
    <col min="45" max="45" width="16.7109375" style="0" customWidth="1"/>
    <col min="46" max="46" width="12.00390625" style="0" customWidth="1"/>
    <col min="47" max="47" width="18.7109375" style="0" customWidth="1"/>
    <col min="48" max="48" width="14.421875" style="0" customWidth="1"/>
    <col min="49" max="49" width="14.00390625" style="0" customWidth="1"/>
    <col min="50" max="16384" width="12.00390625" style="0" customWidth="1"/>
  </cols>
  <sheetData>
    <row r="1" spans="1:49" s="2" customFormat="1" ht="51" customHeight="1">
      <c r="A1" s="482" t="s">
        <v>111</v>
      </c>
      <c r="B1" s="468" t="s">
        <v>248</v>
      </c>
      <c r="C1" s="469"/>
      <c r="D1" s="469"/>
      <c r="E1" s="469"/>
      <c r="F1" s="469"/>
      <c r="G1" s="469"/>
      <c r="H1" s="469"/>
      <c r="I1" s="469"/>
      <c r="J1" s="469"/>
      <c r="K1" s="469"/>
      <c r="L1" s="469"/>
      <c r="M1" s="469"/>
      <c r="N1" s="469"/>
      <c r="O1" s="469"/>
      <c r="P1" s="469"/>
      <c r="Q1" s="469"/>
      <c r="R1" s="469"/>
      <c r="S1" s="469"/>
      <c r="T1" s="469"/>
      <c r="U1" s="186"/>
      <c r="V1" s="186"/>
      <c r="W1" s="186"/>
      <c r="X1" s="202"/>
      <c r="Y1"/>
      <c r="Z1"/>
      <c r="AA1"/>
      <c r="AB1"/>
      <c r="AC1"/>
      <c r="AD1"/>
      <c r="AE1"/>
      <c r="AF1"/>
      <c r="AG1"/>
      <c r="AH1"/>
      <c r="AI1"/>
      <c r="AJ1"/>
      <c r="AK1"/>
      <c r="AL1"/>
      <c r="AM1"/>
      <c r="AN1"/>
      <c r="AO1"/>
      <c r="AP1"/>
      <c r="AQ1"/>
      <c r="AR1"/>
      <c r="AS1"/>
      <c r="AT1"/>
      <c r="AU1"/>
      <c r="AV1"/>
      <c r="AW1"/>
    </row>
    <row r="2" spans="1:24" s="4" customFormat="1" ht="39" customHeight="1">
      <c r="A2" s="483"/>
      <c r="B2" s="481" t="s">
        <v>41</v>
      </c>
      <c r="C2" s="272" t="s">
        <v>185</v>
      </c>
      <c r="D2" s="460"/>
      <c r="E2" s="461"/>
      <c r="F2" s="462" t="s">
        <v>242</v>
      </c>
      <c r="G2" s="462" t="s">
        <v>243</v>
      </c>
      <c r="H2" s="272" t="s">
        <v>244</v>
      </c>
      <c r="I2" s="463"/>
      <c r="J2" s="252" t="s">
        <v>245</v>
      </c>
      <c r="K2" s="464"/>
      <c r="L2" s="41" t="s">
        <v>211</v>
      </c>
      <c r="M2" s="82" t="s">
        <v>186</v>
      </c>
      <c r="N2" s="465" t="s">
        <v>246</v>
      </c>
      <c r="O2" s="465"/>
      <c r="P2" s="465"/>
      <c r="Q2" s="465"/>
      <c r="R2" s="465"/>
      <c r="S2" s="465"/>
      <c r="T2" s="463"/>
      <c r="U2" s="466" t="s">
        <v>79</v>
      </c>
      <c r="V2" s="467"/>
      <c r="W2" s="467"/>
      <c r="X2" s="471"/>
    </row>
    <row r="3" spans="1:24" ht="70.5" customHeight="1">
      <c r="A3" s="185" t="s">
        <v>234</v>
      </c>
      <c r="B3" s="444" t="s">
        <v>121</v>
      </c>
      <c r="C3" s="444" t="s">
        <v>122</v>
      </c>
      <c r="D3" s="444" t="s">
        <v>123</v>
      </c>
      <c r="E3" s="444" t="s">
        <v>124</v>
      </c>
      <c r="F3" s="444" t="s">
        <v>125</v>
      </c>
      <c r="G3" s="444" t="s">
        <v>240</v>
      </c>
      <c r="H3" s="444" t="s">
        <v>209</v>
      </c>
      <c r="I3" s="444" t="s">
        <v>210</v>
      </c>
      <c r="J3" s="444" t="s">
        <v>212</v>
      </c>
      <c r="K3" s="444" t="s">
        <v>213</v>
      </c>
      <c r="L3" s="444" t="s">
        <v>214</v>
      </c>
      <c r="M3" s="444" t="s">
        <v>126</v>
      </c>
      <c r="N3" s="444" t="s">
        <v>127</v>
      </c>
      <c r="O3" s="444" t="s">
        <v>128</v>
      </c>
      <c r="P3" s="444" t="s">
        <v>129</v>
      </c>
      <c r="Q3" s="444" t="s">
        <v>130</v>
      </c>
      <c r="R3" s="444" t="s">
        <v>131</v>
      </c>
      <c r="S3" s="444" t="s">
        <v>132</v>
      </c>
      <c r="T3" s="444" t="s">
        <v>133</v>
      </c>
      <c r="U3" s="444" t="s">
        <v>134</v>
      </c>
      <c r="V3" s="444" t="s">
        <v>135</v>
      </c>
      <c r="W3" s="444" t="s">
        <v>136</v>
      </c>
      <c r="X3" s="472" t="s">
        <v>137</v>
      </c>
    </row>
    <row r="4" spans="1:51" s="475" customFormat="1" ht="10.5">
      <c r="A4" s="473">
        <f>Demography!A4</f>
        <v>1</v>
      </c>
      <c r="B4" s="350">
        <v>4</v>
      </c>
      <c r="C4" s="350" t="s">
        <v>72</v>
      </c>
      <c r="D4" s="350">
        <v>4</v>
      </c>
      <c r="E4" s="350">
        <v>3</v>
      </c>
      <c r="F4" s="353">
        <v>4</v>
      </c>
      <c r="G4" s="350">
        <v>4</v>
      </c>
      <c r="H4" s="350">
        <v>4</v>
      </c>
      <c r="I4" s="350">
        <v>4</v>
      </c>
      <c r="J4" s="350">
        <v>4</v>
      </c>
      <c r="K4" s="350">
        <v>4</v>
      </c>
      <c r="L4" s="350">
        <v>4</v>
      </c>
      <c r="M4" s="350">
        <v>4</v>
      </c>
      <c r="N4" s="350">
        <v>3</v>
      </c>
      <c r="O4" s="350">
        <v>3</v>
      </c>
      <c r="P4" s="350">
        <v>3</v>
      </c>
      <c r="Q4" s="350">
        <v>2</v>
      </c>
      <c r="R4" s="350">
        <v>2</v>
      </c>
      <c r="S4" s="350">
        <v>3</v>
      </c>
      <c r="T4" s="350">
        <v>4</v>
      </c>
      <c r="U4" s="350">
        <v>3</v>
      </c>
      <c r="V4" s="350">
        <v>3</v>
      </c>
      <c r="W4" s="350">
        <v>3</v>
      </c>
      <c r="X4" s="351">
        <v>3</v>
      </c>
      <c r="Y4" s="447"/>
      <c r="Z4" s="447"/>
      <c r="AA4" s="447"/>
      <c r="AB4" s="447"/>
      <c r="AC4" s="447"/>
      <c r="AD4" s="447"/>
      <c r="AE4" s="447"/>
      <c r="AF4" s="447"/>
      <c r="AG4" s="447"/>
      <c r="AH4" s="447"/>
      <c r="AI4" s="447"/>
      <c r="AJ4" s="447"/>
      <c r="AK4" s="447"/>
      <c r="AL4" s="447"/>
      <c r="AM4" s="447"/>
      <c r="AN4" s="447"/>
      <c r="AO4" s="447"/>
      <c r="AP4" s="447"/>
      <c r="AQ4" s="447"/>
      <c r="AR4" s="447"/>
      <c r="AS4" s="447"/>
      <c r="AT4" s="447"/>
      <c r="AU4" s="447"/>
      <c r="AV4" s="447"/>
      <c r="AW4" s="447"/>
      <c r="AX4" s="474"/>
      <c r="AY4" s="474"/>
    </row>
    <row r="5" spans="1:51" s="447" customFormat="1" ht="10.5">
      <c r="A5" s="473">
        <f>Demography!A5</f>
        <v>2</v>
      </c>
      <c r="B5" s="350">
        <v>4</v>
      </c>
      <c r="C5" s="350">
        <v>2</v>
      </c>
      <c r="D5" s="350">
        <v>3</v>
      </c>
      <c r="E5" s="350">
        <v>3</v>
      </c>
      <c r="F5" s="353">
        <v>3</v>
      </c>
      <c r="G5" s="350">
        <v>3</v>
      </c>
      <c r="H5" s="350">
        <v>3</v>
      </c>
      <c r="I5" s="350">
        <v>4</v>
      </c>
      <c r="J5" s="350">
        <v>3</v>
      </c>
      <c r="K5" s="350">
        <v>4</v>
      </c>
      <c r="L5" s="350">
        <v>4</v>
      </c>
      <c r="M5" s="350">
        <v>3</v>
      </c>
      <c r="N5" s="350">
        <v>3</v>
      </c>
      <c r="O5" s="350">
        <v>3</v>
      </c>
      <c r="P5" s="350">
        <v>3</v>
      </c>
      <c r="Q5" s="350">
        <v>3</v>
      </c>
      <c r="R5" s="350">
        <v>3</v>
      </c>
      <c r="S5" s="350">
        <v>4</v>
      </c>
      <c r="T5" s="350">
        <v>4</v>
      </c>
      <c r="U5" s="350">
        <v>4</v>
      </c>
      <c r="V5" s="350">
        <v>3</v>
      </c>
      <c r="W5" s="350">
        <v>4</v>
      </c>
      <c r="X5" s="351">
        <v>3</v>
      </c>
      <c r="AX5" s="474"/>
      <c r="AY5" s="474"/>
    </row>
    <row r="6" spans="1:51" s="447" customFormat="1" ht="10.5">
      <c r="A6" s="473">
        <f>Demography!A6</f>
        <v>3</v>
      </c>
      <c r="B6" s="350">
        <v>2</v>
      </c>
      <c r="C6" s="350" t="s">
        <v>72</v>
      </c>
      <c r="D6" s="350">
        <v>3</v>
      </c>
      <c r="E6" s="350">
        <v>2</v>
      </c>
      <c r="F6" s="353">
        <v>4</v>
      </c>
      <c r="G6" s="350">
        <v>2</v>
      </c>
      <c r="H6" s="350">
        <v>2</v>
      </c>
      <c r="I6" s="350">
        <v>4</v>
      </c>
      <c r="J6" s="350">
        <v>5</v>
      </c>
      <c r="K6" s="350">
        <v>1</v>
      </c>
      <c r="L6" s="350">
        <v>4</v>
      </c>
      <c r="M6" s="350">
        <v>2</v>
      </c>
      <c r="N6" s="350">
        <v>3</v>
      </c>
      <c r="O6" s="350">
        <v>1</v>
      </c>
      <c r="P6" s="350">
        <v>1</v>
      </c>
      <c r="Q6" s="350">
        <v>3</v>
      </c>
      <c r="R6" s="350">
        <v>2</v>
      </c>
      <c r="S6" s="350">
        <v>1</v>
      </c>
      <c r="T6" s="350">
        <v>1</v>
      </c>
      <c r="U6" s="350">
        <v>2</v>
      </c>
      <c r="V6" s="350">
        <v>3</v>
      </c>
      <c r="W6" s="350">
        <v>3</v>
      </c>
      <c r="X6" s="351">
        <v>1</v>
      </c>
      <c r="AX6" s="474"/>
      <c r="AY6" s="474"/>
    </row>
    <row r="7" spans="1:51" s="447" customFormat="1" ht="10.5">
      <c r="A7" s="473">
        <f>Demography!A7</f>
        <v>4</v>
      </c>
      <c r="B7" s="350">
        <v>4</v>
      </c>
      <c r="C7" s="350" t="s">
        <v>72</v>
      </c>
      <c r="D7" s="350" t="s">
        <v>72</v>
      </c>
      <c r="E7" s="350">
        <v>4</v>
      </c>
      <c r="F7" s="353">
        <v>4</v>
      </c>
      <c r="G7" s="350">
        <v>4</v>
      </c>
      <c r="H7" s="350" t="s">
        <v>72</v>
      </c>
      <c r="I7" s="350" t="s">
        <v>72</v>
      </c>
      <c r="J7" s="350" t="s">
        <v>72</v>
      </c>
      <c r="K7" s="350" t="s">
        <v>72</v>
      </c>
      <c r="L7" s="350">
        <v>4</v>
      </c>
      <c r="M7" s="350">
        <v>3</v>
      </c>
      <c r="N7" s="350">
        <v>4</v>
      </c>
      <c r="O7" s="350">
        <v>5</v>
      </c>
      <c r="P7" s="350" t="s">
        <v>72</v>
      </c>
      <c r="Q7" s="350">
        <v>4</v>
      </c>
      <c r="R7" s="350">
        <v>4</v>
      </c>
      <c r="S7" s="350">
        <v>4</v>
      </c>
      <c r="T7" s="350">
        <v>4</v>
      </c>
      <c r="U7" s="350">
        <v>3</v>
      </c>
      <c r="V7" s="350">
        <v>3</v>
      </c>
      <c r="W7" s="350">
        <v>3</v>
      </c>
      <c r="X7" s="351">
        <v>4</v>
      </c>
      <c r="AX7" s="474"/>
      <c r="AY7" s="474"/>
    </row>
    <row r="8" spans="1:51" s="447" customFormat="1" ht="10.5">
      <c r="A8" s="473">
        <f>Demography!A8</f>
        <v>5</v>
      </c>
      <c r="B8" s="350">
        <v>4</v>
      </c>
      <c r="C8" s="350">
        <v>2</v>
      </c>
      <c r="D8" s="350" t="s">
        <v>72</v>
      </c>
      <c r="E8" s="350">
        <v>4</v>
      </c>
      <c r="F8" s="353">
        <v>4</v>
      </c>
      <c r="G8" s="350">
        <v>4</v>
      </c>
      <c r="H8" s="350">
        <v>2</v>
      </c>
      <c r="I8" s="350">
        <v>3</v>
      </c>
      <c r="J8" s="350">
        <v>3</v>
      </c>
      <c r="K8" s="350">
        <v>2</v>
      </c>
      <c r="L8" s="350">
        <v>3</v>
      </c>
      <c r="M8" s="350">
        <v>3</v>
      </c>
      <c r="N8" s="350">
        <v>3</v>
      </c>
      <c r="O8" s="350">
        <v>2</v>
      </c>
      <c r="P8" s="350">
        <v>2</v>
      </c>
      <c r="Q8" s="350">
        <v>2</v>
      </c>
      <c r="R8" s="350">
        <v>3</v>
      </c>
      <c r="S8" s="350">
        <v>3</v>
      </c>
      <c r="T8" s="350">
        <v>3</v>
      </c>
      <c r="U8" s="350">
        <v>3</v>
      </c>
      <c r="V8" s="350" t="s">
        <v>72</v>
      </c>
      <c r="W8" s="350" t="s">
        <v>72</v>
      </c>
      <c r="X8" s="351">
        <v>2</v>
      </c>
      <c r="AX8" s="474"/>
      <c r="AY8" s="474"/>
    </row>
    <row r="9" spans="1:51" s="447" customFormat="1" ht="10.5">
      <c r="A9" s="473">
        <f>Demography!A9</f>
        <v>6</v>
      </c>
      <c r="B9" s="350">
        <v>5</v>
      </c>
      <c r="C9" s="350" t="s">
        <v>72</v>
      </c>
      <c r="D9" s="350">
        <v>3</v>
      </c>
      <c r="E9" s="350">
        <v>3</v>
      </c>
      <c r="F9" s="353">
        <v>3</v>
      </c>
      <c r="G9" s="350" t="s">
        <v>72</v>
      </c>
      <c r="H9" s="350">
        <v>4</v>
      </c>
      <c r="I9" s="350">
        <v>3</v>
      </c>
      <c r="J9" s="350">
        <v>5</v>
      </c>
      <c r="K9" s="350">
        <v>5</v>
      </c>
      <c r="L9" s="350">
        <v>4</v>
      </c>
      <c r="M9" s="350">
        <v>2</v>
      </c>
      <c r="N9" s="350">
        <v>4</v>
      </c>
      <c r="O9" s="350">
        <v>3</v>
      </c>
      <c r="P9" s="350">
        <v>3</v>
      </c>
      <c r="Q9" s="350">
        <v>3</v>
      </c>
      <c r="R9" s="350">
        <v>4</v>
      </c>
      <c r="S9" s="350">
        <v>4</v>
      </c>
      <c r="T9" s="350">
        <v>5</v>
      </c>
      <c r="U9" s="350">
        <v>2</v>
      </c>
      <c r="V9" s="350">
        <v>4</v>
      </c>
      <c r="W9" s="350">
        <v>3</v>
      </c>
      <c r="X9" s="351">
        <v>4</v>
      </c>
      <c r="AX9" s="474"/>
      <c r="AY9" s="474"/>
    </row>
    <row r="10" spans="1:51" s="447" customFormat="1" ht="10.5">
      <c r="A10" s="377">
        <f>Demography!A10</f>
        <v>7</v>
      </c>
      <c r="B10" s="350">
        <v>5</v>
      </c>
      <c r="C10" s="350">
        <v>5</v>
      </c>
      <c r="D10" s="350">
        <v>3</v>
      </c>
      <c r="E10" s="350">
        <v>2</v>
      </c>
      <c r="F10" s="353">
        <v>4</v>
      </c>
      <c r="G10" s="350" t="s">
        <v>72</v>
      </c>
      <c r="H10" s="350">
        <v>5</v>
      </c>
      <c r="I10" s="350">
        <v>5</v>
      </c>
      <c r="J10" s="350">
        <v>5</v>
      </c>
      <c r="K10" s="350">
        <v>3</v>
      </c>
      <c r="L10" s="350">
        <v>4</v>
      </c>
      <c r="M10" s="350">
        <v>5</v>
      </c>
      <c r="N10" s="350">
        <v>5</v>
      </c>
      <c r="O10" s="350">
        <v>3</v>
      </c>
      <c r="P10" s="350">
        <v>5</v>
      </c>
      <c r="Q10" s="350">
        <v>4</v>
      </c>
      <c r="R10" s="350">
        <v>5</v>
      </c>
      <c r="S10" s="350">
        <v>5</v>
      </c>
      <c r="T10" s="350">
        <v>5</v>
      </c>
      <c r="U10" s="350">
        <v>5</v>
      </c>
      <c r="V10" s="350">
        <v>4</v>
      </c>
      <c r="W10" s="350">
        <v>4</v>
      </c>
      <c r="X10" s="351">
        <v>4</v>
      </c>
      <c r="AX10" s="474"/>
      <c r="AY10" s="474"/>
    </row>
    <row r="11" spans="1:51" s="447" customFormat="1" ht="10.5">
      <c r="A11" s="473">
        <f>Demography!A11</f>
        <v>8</v>
      </c>
      <c r="B11" s="350">
        <v>4</v>
      </c>
      <c r="C11" s="350" t="s">
        <v>72</v>
      </c>
      <c r="D11" s="350">
        <v>4</v>
      </c>
      <c r="E11" s="350">
        <v>3</v>
      </c>
      <c r="F11" s="353">
        <v>4</v>
      </c>
      <c r="G11" s="350">
        <v>3</v>
      </c>
      <c r="H11" s="350">
        <v>3</v>
      </c>
      <c r="I11" s="350">
        <v>2</v>
      </c>
      <c r="J11" s="350">
        <v>5</v>
      </c>
      <c r="K11" s="350">
        <v>2</v>
      </c>
      <c r="L11" s="350">
        <v>5</v>
      </c>
      <c r="M11" s="350">
        <v>3</v>
      </c>
      <c r="N11" s="350">
        <v>4</v>
      </c>
      <c r="O11" s="350">
        <v>4</v>
      </c>
      <c r="P11" s="350">
        <v>5</v>
      </c>
      <c r="Q11" s="350">
        <v>4</v>
      </c>
      <c r="R11" s="350">
        <v>3</v>
      </c>
      <c r="S11" s="350">
        <v>4</v>
      </c>
      <c r="T11" s="350">
        <v>5</v>
      </c>
      <c r="U11" s="350">
        <v>5</v>
      </c>
      <c r="V11" s="350">
        <v>4</v>
      </c>
      <c r="W11" s="350">
        <v>5</v>
      </c>
      <c r="X11" s="351">
        <v>5</v>
      </c>
      <c r="AX11" s="474"/>
      <c r="AY11" s="474"/>
    </row>
    <row r="12" spans="1:24" s="447" customFormat="1" ht="10.5">
      <c r="A12" s="473">
        <f>Demography!A12</f>
        <v>9</v>
      </c>
      <c r="B12" s="350">
        <v>4</v>
      </c>
      <c r="C12" s="350">
        <v>3</v>
      </c>
      <c r="D12" s="350">
        <v>4</v>
      </c>
      <c r="E12" s="350">
        <v>3</v>
      </c>
      <c r="F12" s="353">
        <v>4</v>
      </c>
      <c r="G12" s="350">
        <v>3</v>
      </c>
      <c r="H12" s="350">
        <v>3</v>
      </c>
      <c r="I12" s="350">
        <v>4</v>
      </c>
      <c r="J12" s="350">
        <v>3</v>
      </c>
      <c r="K12" s="350">
        <v>1</v>
      </c>
      <c r="L12" s="350">
        <v>4</v>
      </c>
      <c r="M12" s="350">
        <v>3</v>
      </c>
      <c r="N12" s="350">
        <v>4</v>
      </c>
      <c r="O12" s="350">
        <v>3</v>
      </c>
      <c r="P12" s="350">
        <v>4</v>
      </c>
      <c r="Q12" s="350">
        <v>3</v>
      </c>
      <c r="R12" s="350">
        <v>3</v>
      </c>
      <c r="S12" s="350">
        <v>3</v>
      </c>
      <c r="T12" s="350">
        <v>3</v>
      </c>
      <c r="U12" s="350">
        <v>4</v>
      </c>
      <c r="V12" s="350">
        <v>4</v>
      </c>
      <c r="W12" s="350">
        <v>4</v>
      </c>
      <c r="X12" s="351">
        <v>3</v>
      </c>
    </row>
    <row r="13" spans="1:24" s="447" customFormat="1" ht="10.5">
      <c r="A13" s="377">
        <f>Demography!A13</f>
        <v>10</v>
      </c>
      <c r="B13" s="350">
        <v>5</v>
      </c>
      <c r="C13" s="350" t="s">
        <v>72</v>
      </c>
      <c r="D13" s="350">
        <v>4</v>
      </c>
      <c r="E13" s="350">
        <v>4</v>
      </c>
      <c r="F13" s="353">
        <v>5</v>
      </c>
      <c r="G13" s="350" t="s">
        <v>72</v>
      </c>
      <c r="H13" s="350">
        <v>5</v>
      </c>
      <c r="I13" s="350">
        <v>5</v>
      </c>
      <c r="J13" s="350">
        <v>5</v>
      </c>
      <c r="K13" s="350">
        <v>5</v>
      </c>
      <c r="L13" s="350">
        <v>5</v>
      </c>
      <c r="M13" s="350">
        <v>4</v>
      </c>
      <c r="N13" s="350">
        <v>3</v>
      </c>
      <c r="O13" s="350">
        <v>3</v>
      </c>
      <c r="P13" s="350">
        <v>3</v>
      </c>
      <c r="Q13" s="350">
        <v>1</v>
      </c>
      <c r="R13" s="350">
        <v>1</v>
      </c>
      <c r="S13" s="350">
        <v>5</v>
      </c>
      <c r="T13" s="350">
        <v>5</v>
      </c>
      <c r="U13" s="350">
        <v>3</v>
      </c>
      <c r="V13" s="350">
        <v>3</v>
      </c>
      <c r="W13" s="350" t="s">
        <v>72</v>
      </c>
      <c r="X13" s="351" t="s">
        <v>72</v>
      </c>
    </row>
    <row r="14" spans="1:24" s="447" customFormat="1" ht="10.5">
      <c r="A14" s="473">
        <f>Demography!A14</f>
        <v>11</v>
      </c>
      <c r="B14" s="350">
        <v>3</v>
      </c>
      <c r="C14" s="350">
        <v>1</v>
      </c>
      <c r="D14" s="350">
        <v>4</v>
      </c>
      <c r="E14" s="350">
        <v>3</v>
      </c>
      <c r="F14" s="353">
        <v>5</v>
      </c>
      <c r="G14" s="350">
        <v>3</v>
      </c>
      <c r="H14" s="350">
        <v>5</v>
      </c>
      <c r="I14" s="350">
        <v>5</v>
      </c>
      <c r="J14" s="350">
        <v>3</v>
      </c>
      <c r="K14" s="350">
        <v>3</v>
      </c>
      <c r="L14" s="350">
        <v>4</v>
      </c>
      <c r="M14" s="350">
        <v>2</v>
      </c>
      <c r="N14" s="350">
        <v>4</v>
      </c>
      <c r="O14" s="350">
        <v>3</v>
      </c>
      <c r="P14" s="350">
        <v>5</v>
      </c>
      <c r="Q14" s="350">
        <v>5</v>
      </c>
      <c r="R14" s="350">
        <v>5</v>
      </c>
      <c r="S14" s="350">
        <v>5</v>
      </c>
      <c r="T14" s="350">
        <v>5</v>
      </c>
      <c r="U14" s="350">
        <v>5</v>
      </c>
      <c r="V14" s="350">
        <v>5</v>
      </c>
      <c r="W14" s="350">
        <v>4</v>
      </c>
      <c r="X14" s="351">
        <v>3</v>
      </c>
    </row>
    <row r="15" spans="1:231" s="447" customFormat="1" ht="11.25" thickBot="1">
      <c r="A15" s="393">
        <f>Demography!A15</f>
        <v>12</v>
      </c>
      <c r="B15" s="362"/>
      <c r="C15" s="362"/>
      <c r="D15" s="362"/>
      <c r="E15" s="362"/>
      <c r="F15" s="357"/>
      <c r="G15" s="362"/>
      <c r="H15" s="362"/>
      <c r="I15" s="362"/>
      <c r="J15" s="362"/>
      <c r="K15" s="362"/>
      <c r="L15" s="362"/>
      <c r="M15" s="362"/>
      <c r="N15" s="362"/>
      <c r="O15" s="362"/>
      <c r="P15" s="362"/>
      <c r="Q15" s="362"/>
      <c r="R15" s="362"/>
      <c r="S15" s="362"/>
      <c r="T15" s="362"/>
      <c r="U15" s="362"/>
      <c r="V15" s="362"/>
      <c r="W15" s="362"/>
      <c r="X15" s="364"/>
      <c r="AX15" s="475"/>
      <c r="AY15" s="475"/>
      <c r="AZ15" s="475"/>
      <c r="BA15" s="475"/>
      <c r="BB15" s="475"/>
      <c r="BC15" s="475"/>
      <c r="BD15" s="475"/>
      <c r="BE15" s="475"/>
      <c r="BF15" s="475"/>
      <c r="BG15" s="475"/>
      <c r="BH15" s="475"/>
      <c r="BI15" s="475"/>
      <c r="BJ15" s="475"/>
      <c r="BK15" s="475"/>
      <c r="BL15" s="475"/>
      <c r="BM15" s="475"/>
      <c r="BN15" s="475"/>
      <c r="BO15" s="475"/>
      <c r="BP15" s="475"/>
      <c r="BQ15" s="475"/>
      <c r="BR15" s="475"/>
      <c r="BS15" s="475"/>
      <c r="BT15" s="475"/>
      <c r="BU15" s="475"/>
      <c r="BV15" s="475"/>
      <c r="BW15" s="475"/>
      <c r="BX15" s="475"/>
      <c r="BY15" s="475"/>
      <c r="BZ15" s="475"/>
      <c r="CA15" s="475"/>
      <c r="CB15" s="475"/>
      <c r="CC15" s="475"/>
      <c r="CD15" s="475"/>
      <c r="CE15" s="475"/>
      <c r="CF15" s="475"/>
      <c r="CG15" s="475"/>
      <c r="CH15" s="475"/>
      <c r="CI15" s="475"/>
      <c r="CJ15" s="475"/>
      <c r="CK15" s="475"/>
      <c r="CL15" s="475"/>
      <c r="CM15" s="475"/>
      <c r="CN15" s="475"/>
      <c r="CO15" s="475"/>
      <c r="CP15" s="475"/>
      <c r="CQ15" s="475"/>
      <c r="CR15" s="475"/>
      <c r="CS15" s="475"/>
      <c r="CT15" s="475"/>
      <c r="CU15" s="475"/>
      <c r="CV15" s="475"/>
      <c r="CW15" s="475"/>
      <c r="CX15" s="475"/>
      <c r="CY15" s="475"/>
      <c r="CZ15" s="475"/>
      <c r="DA15" s="475"/>
      <c r="DB15" s="475"/>
      <c r="DC15" s="475"/>
      <c r="DD15" s="475"/>
      <c r="DE15" s="475"/>
      <c r="DF15" s="475"/>
      <c r="DG15" s="475"/>
      <c r="DH15" s="475"/>
      <c r="DI15" s="475"/>
      <c r="DJ15" s="475"/>
      <c r="DK15" s="475"/>
      <c r="DL15" s="475"/>
      <c r="DM15" s="475"/>
      <c r="DN15" s="475"/>
      <c r="DO15" s="475"/>
      <c r="DP15" s="475"/>
      <c r="DQ15" s="475"/>
      <c r="DR15" s="475"/>
      <c r="DS15" s="475"/>
      <c r="DT15" s="475"/>
      <c r="DU15" s="475"/>
      <c r="DV15" s="475"/>
      <c r="DW15" s="475"/>
      <c r="DX15" s="475"/>
      <c r="DY15" s="475"/>
      <c r="DZ15" s="475"/>
      <c r="EA15" s="475"/>
      <c r="EB15" s="475"/>
      <c r="EC15" s="475"/>
      <c r="ED15" s="475"/>
      <c r="EE15" s="475"/>
      <c r="EF15" s="475"/>
      <c r="EG15" s="475"/>
      <c r="EH15" s="475"/>
      <c r="EI15" s="475"/>
      <c r="EJ15" s="475"/>
      <c r="EK15" s="475"/>
      <c r="EL15" s="475"/>
      <c r="EM15" s="475"/>
      <c r="EN15" s="475"/>
      <c r="EO15" s="475"/>
      <c r="EP15" s="475"/>
      <c r="EQ15" s="475"/>
      <c r="ER15" s="475"/>
      <c r="ES15" s="475"/>
      <c r="ET15" s="475"/>
      <c r="EU15" s="475"/>
      <c r="EV15" s="475"/>
      <c r="EW15" s="475"/>
      <c r="EX15" s="475"/>
      <c r="EY15" s="475"/>
      <c r="EZ15" s="475"/>
      <c r="FA15" s="475"/>
      <c r="FB15" s="475"/>
      <c r="FC15" s="475"/>
      <c r="FD15" s="475"/>
      <c r="FE15" s="475"/>
      <c r="FF15" s="475"/>
      <c r="FG15" s="475"/>
      <c r="FH15" s="475"/>
      <c r="FI15" s="475"/>
      <c r="FJ15" s="475"/>
      <c r="FK15" s="475"/>
      <c r="FL15" s="475"/>
      <c r="FM15" s="475"/>
      <c r="FN15" s="475"/>
      <c r="FO15" s="475"/>
      <c r="FP15" s="475"/>
      <c r="FQ15" s="475"/>
      <c r="FR15" s="475"/>
      <c r="FS15" s="475"/>
      <c r="FT15" s="475"/>
      <c r="FU15" s="475"/>
      <c r="FV15" s="475"/>
      <c r="FW15" s="475"/>
      <c r="FX15" s="475"/>
      <c r="FY15" s="475"/>
      <c r="FZ15" s="475"/>
      <c r="GA15" s="475"/>
      <c r="GB15" s="475"/>
      <c r="GC15" s="475"/>
      <c r="GD15" s="475"/>
      <c r="GE15" s="475"/>
      <c r="GF15" s="475"/>
      <c r="GG15" s="475"/>
      <c r="GH15" s="475"/>
      <c r="GI15" s="475"/>
      <c r="GJ15" s="475"/>
      <c r="GK15" s="475"/>
      <c r="GL15" s="475"/>
      <c r="GM15" s="475"/>
      <c r="GN15" s="475"/>
      <c r="GO15" s="475"/>
      <c r="GP15" s="475"/>
      <c r="GQ15" s="475"/>
      <c r="GR15" s="475"/>
      <c r="GS15" s="475"/>
      <c r="GT15" s="475"/>
      <c r="GU15" s="475"/>
      <c r="GV15" s="475"/>
      <c r="GW15" s="475"/>
      <c r="GX15" s="475"/>
      <c r="GY15" s="475"/>
      <c r="GZ15" s="475"/>
      <c r="HA15" s="475"/>
      <c r="HB15" s="475"/>
      <c r="HC15" s="475"/>
      <c r="HD15" s="475"/>
      <c r="HE15" s="475"/>
      <c r="HF15" s="475"/>
      <c r="HG15" s="475"/>
      <c r="HH15" s="475"/>
      <c r="HI15" s="475"/>
      <c r="HJ15" s="475"/>
      <c r="HK15" s="475"/>
      <c r="HL15" s="475"/>
      <c r="HM15" s="475"/>
      <c r="HN15" s="475"/>
      <c r="HO15" s="475"/>
      <c r="HP15" s="475"/>
      <c r="HQ15" s="475"/>
      <c r="HR15" s="475"/>
      <c r="HS15" s="475"/>
      <c r="HT15" s="475"/>
      <c r="HU15" s="475"/>
      <c r="HV15" s="475"/>
      <c r="HW15" s="475"/>
    </row>
    <row r="16" spans="1:231" s="17" customFormat="1" ht="15.75" customHeight="1" thickBot="1">
      <c r="A16" s="330" t="str">
        <f>'Visit 5'!A17</f>
        <v>Subjects who completed study and continued to wear Trifield glasses: 1-6, 8-9, and S11</v>
      </c>
      <c r="B16" s="330"/>
      <c r="C16" s="330"/>
      <c r="D16" s="330"/>
      <c r="E16" s="330"/>
      <c r="F16" s="330"/>
      <c r="G16" s="28"/>
      <c r="H16" s="28"/>
      <c r="I16" s="28"/>
      <c r="J16" s="28"/>
      <c r="K16" s="28"/>
      <c r="L16" s="28"/>
      <c r="M16" s="28"/>
      <c r="N16" s="28"/>
      <c r="O16" s="28"/>
      <c r="P16" s="28"/>
      <c r="Q16" s="28"/>
      <c r="R16" s="28"/>
      <c r="S16" s="28"/>
      <c r="T16" s="28"/>
      <c r="U16" s="28"/>
      <c r="V16" s="28"/>
      <c r="W16" s="28"/>
      <c r="X16" s="28"/>
      <c r="Y16"/>
      <c r="Z16"/>
      <c r="AA16"/>
      <c r="AB16"/>
      <c r="AC16"/>
      <c r="AD16"/>
      <c r="AE16"/>
      <c r="AF16"/>
      <c r="AG16"/>
      <c r="AH16"/>
      <c r="AI16"/>
      <c r="AJ16"/>
      <c r="AK16"/>
      <c r="AL16"/>
      <c r="AM16"/>
      <c r="AN16"/>
      <c r="AO16"/>
      <c r="AP16"/>
      <c r="AQ16"/>
      <c r="AR16"/>
      <c r="AS16"/>
      <c r="AT16"/>
      <c r="AU16"/>
      <c r="AV16"/>
      <c r="AW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row>
    <row r="17" spans="1:24" s="447" customFormat="1" ht="10.5" customHeight="1">
      <c r="A17" s="449" t="s">
        <v>175</v>
      </c>
      <c r="B17" s="476">
        <f>AVERAGE(B4:B14)</f>
        <v>4</v>
      </c>
      <c r="C17" s="476">
        <f aca="true" t="shared" si="0" ref="C17:X17">AVERAGE(C4:C14)</f>
        <v>2.6</v>
      </c>
      <c r="D17" s="477">
        <f t="shared" si="0"/>
        <v>3.5555555555555554</v>
      </c>
      <c r="E17" s="477">
        <f t="shared" si="0"/>
        <v>3.090909090909091</v>
      </c>
      <c r="F17" s="476">
        <f t="shared" si="0"/>
        <v>4</v>
      </c>
      <c r="G17" s="476">
        <f t="shared" si="0"/>
        <v>3.25</v>
      </c>
      <c r="H17" s="476">
        <f t="shared" si="0"/>
        <v>3.6</v>
      </c>
      <c r="I17" s="476">
        <f t="shared" si="0"/>
        <v>3.9</v>
      </c>
      <c r="J17" s="476">
        <f t="shared" si="0"/>
        <v>4.1</v>
      </c>
      <c r="K17" s="476">
        <f t="shared" si="0"/>
        <v>3</v>
      </c>
      <c r="L17" s="478">
        <f t="shared" si="0"/>
        <v>4.090909090909091</v>
      </c>
      <c r="M17" s="477">
        <f t="shared" si="0"/>
        <v>3.090909090909091</v>
      </c>
      <c r="N17" s="477">
        <f t="shared" si="0"/>
        <v>3.6363636363636362</v>
      </c>
      <c r="O17" s="476">
        <f t="shared" si="0"/>
        <v>3</v>
      </c>
      <c r="P17" s="476">
        <f t="shared" si="0"/>
        <v>3.4</v>
      </c>
      <c r="Q17" s="477">
        <f t="shared" si="0"/>
        <v>3.090909090909091</v>
      </c>
      <c r="R17" s="477">
        <f t="shared" si="0"/>
        <v>3.1818181818181817</v>
      </c>
      <c r="S17" s="477">
        <f t="shared" si="0"/>
        <v>3.727272727272727</v>
      </c>
      <c r="T17" s="476">
        <f t="shared" si="0"/>
        <v>4</v>
      </c>
      <c r="U17" s="477">
        <f t="shared" si="0"/>
        <v>3.5454545454545454</v>
      </c>
      <c r="V17" s="476">
        <f t="shared" si="0"/>
        <v>3.6</v>
      </c>
      <c r="W17" s="477">
        <f t="shared" si="0"/>
        <v>3.6666666666666665</v>
      </c>
      <c r="X17" s="479">
        <f t="shared" si="0"/>
        <v>3.2</v>
      </c>
    </row>
    <row r="18" spans="1:24" s="447" customFormat="1" ht="10.5">
      <c r="A18" s="452" t="s">
        <v>174</v>
      </c>
      <c r="B18" s="386">
        <f aca="true" t="shared" si="1" ref="B18:X18">STDEV(B4:B14)</f>
        <v>0.8944271909999159</v>
      </c>
      <c r="C18" s="386">
        <f t="shared" si="1"/>
        <v>1.5165750888103104</v>
      </c>
      <c r="D18" s="386">
        <f t="shared" si="1"/>
        <v>0.5270462766947306</v>
      </c>
      <c r="E18" s="386">
        <f t="shared" si="1"/>
        <v>0.7006490497453705</v>
      </c>
      <c r="F18" s="386">
        <f t="shared" si="1"/>
        <v>0.6324555320336759</v>
      </c>
      <c r="G18" s="386">
        <f t="shared" si="1"/>
        <v>0.7071067811865476</v>
      </c>
      <c r="H18" s="386">
        <f t="shared" si="1"/>
        <v>1.1737877907772676</v>
      </c>
      <c r="I18" s="386">
        <f t="shared" si="1"/>
        <v>0.9944289260117535</v>
      </c>
      <c r="J18" s="386">
        <f t="shared" si="1"/>
        <v>0.9944289260117535</v>
      </c>
      <c r="K18" s="386">
        <f t="shared" si="1"/>
        <v>1.4907119849998598</v>
      </c>
      <c r="L18" s="386">
        <f t="shared" si="1"/>
        <v>0.5393598899705935</v>
      </c>
      <c r="M18" s="386">
        <f t="shared" si="1"/>
        <v>0.9438798074485388</v>
      </c>
      <c r="N18" s="386">
        <f t="shared" si="1"/>
        <v>0.6741998624632412</v>
      </c>
      <c r="O18" s="386">
        <f t="shared" si="1"/>
        <v>1</v>
      </c>
      <c r="P18" s="386">
        <f t="shared" si="1"/>
        <v>1.3498971154211061</v>
      </c>
      <c r="Q18" s="386">
        <f t="shared" si="1"/>
        <v>1.1361818036340356</v>
      </c>
      <c r="R18" s="386">
        <f t="shared" si="1"/>
        <v>1.2504544628399563</v>
      </c>
      <c r="S18" s="386">
        <f t="shared" si="1"/>
        <v>1.1908743922772957</v>
      </c>
      <c r="T18" s="386">
        <f t="shared" si="1"/>
        <v>1.2649110640673518</v>
      </c>
      <c r="U18" s="386">
        <f t="shared" si="1"/>
        <v>1.128152149635532</v>
      </c>
      <c r="V18" s="386">
        <f t="shared" si="1"/>
        <v>0.6992058987801015</v>
      </c>
      <c r="W18" s="386">
        <f t="shared" si="1"/>
        <v>0.7071067811865476</v>
      </c>
      <c r="X18" s="480">
        <f t="shared" si="1"/>
        <v>1.1352924243950933</v>
      </c>
    </row>
    <row r="19" spans="1:24" s="447" customFormat="1" ht="10.5" customHeight="1" thickBot="1">
      <c r="A19" s="454" t="s">
        <v>120</v>
      </c>
      <c r="B19" s="362">
        <f aca="true" t="shared" si="2" ref="B19:X19">MEDIAN(B4:B14)</f>
        <v>4</v>
      </c>
      <c r="C19" s="362">
        <f t="shared" si="2"/>
        <v>2</v>
      </c>
      <c r="D19" s="362">
        <f t="shared" si="2"/>
        <v>4</v>
      </c>
      <c r="E19" s="362">
        <f t="shared" si="2"/>
        <v>3</v>
      </c>
      <c r="F19" s="362">
        <f t="shared" si="2"/>
        <v>4</v>
      </c>
      <c r="G19" s="362">
        <f t="shared" si="2"/>
        <v>3</v>
      </c>
      <c r="H19" s="362">
        <f t="shared" si="2"/>
        <v>3.5</v>
      </c>
      <c r="I19" s="362">
        <f t="shared" si="2"/>
        <v>4</v>
      </c>
      <c r="J19" s="362">
        <f t="shared" si="2"/>
        <v>4.5</v>
      </c>
      <c r="K19" s="362">
        <f t="shared" si="2"/>
        <v>3</v>
      </c>
      <c r="L19" s="362">
        <f t="shared" si="2"/>
        <v>4</v>
      </c>
      <c r="M19" s="362">
        <f t="shared" si="2"/>
        <v>3</v>
      </c>
      <c r="N19" s="362">
        <f t="shared" si="2"/>
        <v>4</v>
      </c>
      <c r="O19" s="362">
        <f t="shared" si="2"/>
        <v>3</v>
      </c>
      <c r="P19" s="362">
        <f t="shared" si="2"/>
        <v>3</v>
      </c>
      <c r="Q19" s="362">
        <f t="shared" si="2"/>
        <v>3</v>
      </c>
      <c r="R19" s="362">
        <f t="shared" si="2"/>
        <v>3</v>
      </c>
      <c r="S19" s="362">
        <f t="shared" si="2"/>
        <v>4</v>
      </c>
      <c r="T19" s="362">
        <f t="shared" si="2"/>
        <v>4</v>
      </c>
      <c r="U19" s="362">
        <f t="shared" si="2"/>
        <v>3</v>
      </c>
      <c r="V19" s="362">
        <f t="shared" si="2"/>
        <v>3.5</v>
      </c>
      <c r="W19" s="362">
        <f t="shared" si="2"/>
        <v>4</v>
      </c>
      <c r="X19" s="364">
        <f t="shared" si="2"/>
        <v>3</v>
      </c>
    </row>
    <row r="20" ht="10.5">
      <c r="A20" s="136"/>
    </row>
    <row r="22" ht="32.25" customHeight="1">
      <c r="A22" s="136"/>
    </row>
  </sheetData>
  <mergeCells count="8">
    <mergeCell ref="A16:F16"/>
    <mergeCell ref="A1:A2"/>
    <mergeCell ref="C2:E2"/>
    <mergeCell ref="N2:T2"/>
    <mergeCell ref="U2:X2"/>
    <mergeCell ref="H2:I2"/>
    <mergeCell ref="J2:K2"/>
    <mergeCell ref="B1:T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C2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D14" sqref="D14"/>
    </sheetView>
  </sheetViews>
  <sheetFormatPr defaultColWidth="9.140625" defaultRowHeight="12"/>
  <cols>
    <col min="1" max="1" width="21.00390625" style="6" customWidth="1"/>
    <col min="2" max="2" width="21.140625" style="6" customWidth="1"/>
    <col min="3" max="3" width="24.00390625" style="6" customWidth="1"/>
    <col min="4" max="4" width="23.28125" style="6" customWidth="1"/>
    <col min="5" max="5" width="26.8515625" style="6" customWidth="1"/>
    <col min="6" max="6" width="21.140625" style="6" customWidth="1"/>
    <col min="7" max="7" width="20.28125" style="6" customWidth="1"/>
    <col min="8" max="8" width="21.28125" style="6" customWidth="1"/>
    <col min="9" max="9" width="24.7109375" style="6" customWidth="1"/>
    <col min="10" max="10" width="22.8515625" style="6" customWidth="1"/>
    <col min="11" max="11" width="21.7109375" style="6" customWidth="1"/>
    <col min="12" max="21" width="26.8515625" style="6" customWidth="1"/>
    <col min="22" max="16384" width="12.00390625" style="6" customWidth="1"/>
  </cols>
  <sheetData>
    <row r="1" spans="1:29" ht="47.25" customHeight="1">
      <c r="A1" s="491" t="s">
        <v>111</v>
      </c>
      <c r="B1" s="496" t="s">
        <v>251</v>
      </c>
      <c r="C1" s="496"/>
      <c r="D1" s="496"/>
      <c r="E1" s="496"/>
      <c r="F1" s="496"/>
      <c r="G1" s="496"/>
      <c r="H1" s="496"/>
      <c r="I1" s="496"/>
      <c r="J1" s="496"/>
      <c r="K1" s="497"/>
      <c r="L1"/>
      <c r="M1"/>
      <c r="N1"/>
      <c r="O1"/>
      <c r="P1"/>
      <c r="Q1"/>
      <c r="R1"/>
      <c r="S1"/>
      <c r="T1"/>
      <c r="U1"/>
      <c r="V1"/>
      <c r="W1"/>
      <c r="X1"/>
      <c r="Y1"/>
      <c r="Z1"/>
      <c r="AA1"/>
      <c r="AB1"/>
      <c r="AC1"/>
    </row>
    <row r="2" spans="1:29" ht="51.75" customHeight="1">
      <c r="A2" s="491"/>
      <c r="B2" s="439" t="s">
        <v>249</v>
      </c>
      <c r="C2" s="490"/>
      <c r="D2" s="490"/>
      <c r="E2" s="490"/>
      <c r="F2" s="490"/>
      <c r="G2" s="490"/>
      <c r="H2" s="438" t="s">
        <v>250</v>
      </c>
      <c r="I2" s="440"/>
      <c r="J2" s="440"/>
      <c r="K2" s="500"/>
      <c r="L2"/>
      <c r="M2"/>
      <c r="N2"/>
      <c r="O2"/>
      <c r="P2"/>
      <c r="Q2"/>
      <c r="R2"/>
      <c r="S2"/>
      <c r="T2"/>
      <c r="U2"/>
      <c r="V2"/>
      <c r="W2"/>
      <c r="X2"/>
      <c r="Y2"/>
      <c r="Z2"/>
      <c r="AA2"/>
      <c r="AB2"/>
      <c r="AC2"/>
    </row>
    <row r="3" spans="1:29" s="487" customFormat="1" ht="73.5" customHeight="1">
      <c r="A3" s="137" t="s">
        <v>234</v>
      </c>
      <c r="B3" s="499" t="s">
        <v>215</v>
      </c>
      <c r="C3" s="484" t="s">
        <v>225</v>
      </c>
      <c r="D3" s="484" t="s">
        <v>216</v>
      </c>
      <c r="E3" s="484" t="s">
        <v>224</v>
      </c>
      <c r="F3" s="484" t="s">
        <v>219</v>
      </c>
      <c r="G3" s="484" t="s">
        <v>217</v>
      </c>
      <c r="H3" s="484" t="s">
        <v>228</v>
      </c>
      <c r="I3" s="484" t="s">
        <v>227</v>
      </c>
      <c r="J3" s="484" t="s">
        <v>226</v>
      </c>
      <c r="K3" s="485" t="s">
        <v>218</v>
      </c>
      <c r="L3" s="486"/>
      <c r="M3" s="486"/>
      <c r="N3" s="486"/>
      <c r="O3" s="486"/>
      <c r="P3" s="486"/>
      <c r="Q3" s="486"/>
      <c r="R3" s="486"/>
      <c r="S3" s="486"/>
      <c r="T3" s="486"/>
      <c r="U3" s="486"/>
      <c r="V3" s="486"/>
      <c r="W3" s="486"/>
      <c r="X3" s="486"/>
      <c r="Y3" s="486"/>
      <c r="Z3" s="486"/>
      <c r="AA3" s="486"/>
      <c r="AB3" s="486"/>
      <c r="AC3" s="486"/>
    </row>
    <row r="4" spans="1:29" s="448" customFormat="1" ht="10.5">
      <c r="A4" s="473">
        <f>Demography!A4</f>
        <v>1</v>
      </c>
      <c r="B4" s="350">
        <v>3</v>
      </c>
      <c r="C4" s="350">
        <v>3</v>
      </c>
      <c r="D4" s="350">
        <v>4</v>
      </c>
      <c r="E4" s="350">
        <v>4</v>
      </c>
      <c r="F4" s="350">
        <v>4</v>
      </c>
      <c r="G4" s="350">
        <v>3</v>
      </c>
      <c r="H4" s="350">
        <v>4</v>
      </c>
      <c r="I4" s="350">
        <v>3</v>
      </c>
      <c r="J4" s="350">
        <v>4</v>
      </c>
      <c r="K4" s="351">
        <v>4</v>
      </c>
      <c r="L4" s="447"/>
      <c r="M4" s="447"/>
      <c r="N4" s="447"/>
      <c r="O4" s="447"/>
      <c r="P4" s="447"/>
      <c r="Q4" s="447"/>
      <c r="R4" s="447"/>
      <c r="S4" s="447"/>
      <c r="T4" s="447"/>
      <c r="U4" s="447"/>
      <c r="V4" s="447"/>
      <c r="W4" s="447"/>
      <c r="X4" s="447"/>
      <c r="Y4" s="447"/>
      <c r="Z4" s="447"/>
      <c r="AA4" s="447"/>
      <c r="AB4" s="447"/>
      <c r="AC4" s="447"/>
    </row>
    <row r="5" spans="1:29" s="448" customFormat="1" ht="10.5">
      <c r="A5" s="473">
        <f>Demography!A5</f>
        <v>2</v>
      </c>
      <c r="B5" s="350">
        <v>2</v>
      </c>
      <c r="C5" s="350">
        <v>3</v>
      </c>
      <c r="D5" s="350">
        <v>4</v>
      </c>
      <c r="E5" s="350">
        <v>4</v>
      </c>
      <c r="F5" s="350">
        <v>5</v>
      </c>
      <c r="G5" s="350">
        <v>5</v>
      </c>
      <c r="H5" s="350">
        <v>4</v>
      </c>
      <c r="I5" s="350">
        <v>2</v>
      </c>
      <c r="J5" s="350">
        <v>4</v>
      </c>
      <c r="K5" s="351">
        <v>4</v>
      </c>
      <c r="L5" s="447"/>
      <c r="M5" s="447"/>
      <c r="N5" s="447"/>
      <c r="O5" s="447"/>
      <c r="P5" s="447"/>
      <c r="Q5" s="447"/>
      <c r="R5" s="447"/>
      <c r="S5" s="447"/>
      <c r="T5" s="447"/>
      <c r="U5" s="447"/>
      <c r="V5" s="447"/>
      <c r="W5" s="447"/>
      <c r="X5" s="447"/>
      <c r="Y5" s="447"/>
      <c r="Z5" s="447"/>
      <c r="AA5" s="447"/>
      <c r="AB5" s="447"/>
      <c r="AC5" s="447"/>
    </row>
    <row r="6" spans="1:29" s="448" customFormat="1" ht="10.5">
      <c r="A6" s="473">
        <f>Demography!A6</f>
        <v>3</v>
      </c>
      <c r="B6" s="350">
        <v>2</v>
      </c>
      <c r="C6" s="350">
        <v>3</v>
      </c>
      <c r="D6" s="350">
        <v>4</v>
      </c>
      <c r="E6" s="350">
        <v>3</v>
      </c>
      <c r="F6" s="350">
        <v>5</v>
      </c>
      <c r="G6" s="350">
        <v>3</v>
      </c>
      <c r="H6" s="350">
        <v>5</v>
      </c>
      <c r="I6" s="350">
        <v>5</v>
      </c>
      <c r="J6" s="350">
        <v>5</v>
      </c>
      <c r="K6" s="351">
        <v>4</v>
      </c>
      <c r="L6" s="447"/>
      <c r="M6" s="447"/>
      <c r="N6" s="447"/>
      <c r="O6" s="447"/>
      <c r="P6" s="447"/>
      <c r="Q6" s="447"/>
      <c r="R6" s="447"/>
      <c r="S6" s="447"/>
      <c r="T6" s="447"/>
      <c r="U6" s="447"/>
      <c r="V6" s="447"/>
      <c r="W6" s="447"/>
      <c r="X6" s="447"/>
      <c r="Y6" s="447"/>
      <c r="Z6" s="447"/>
      <c r="AA6" s="447"/>
      <c r="AB6" s="447"/>
      <c r="AC6" s="447"/>
    </row>
    <row r="7" spans="1:29" s="448" customFormat="1" ht="10.5">
      <c r="A7" s="473">
        <f>Demography!A7</f>
        <v>4</v>
      </c>
      <c r="B7" s="350">
        <v>3</v>
      </c>
      <c r="C7" s="350">
        <v>3</v>
      </c>
      <c r="D7" s="350">
        <v>4</v>
      </c>
      <c r="E7" s="350">
        <v>3</v>
      </c>
      <c r="F7" s="350" t="s">
        <v>220</v>
      </c>
      <c r="G7" s="350">
        <v>3</v>
      </c>
      <c r="H7" s="350">
        <v>1</v>
      </c>
      <c r="I7" s="350">
        <v>1</v>
      </c>
      <c r="J7" s="350">
        <v>5</v>
      </c>
      <c r="K7" s="351">
        <v>5</v>
      </c>
      <c r="L7" s="447"/>
      <c r="M7" s="447"/>
      <c r="N7" s="447"/>
      <c r="O7" s="447"/>
      <c r="P7" s="447"/>
      <c r="Q7" s="447"/>
      <c r="R7" s="447"/>
      <c r="S7" s="447"/>
      <c r="T7" s="447"/>
      <c r="U7" s="447"/>
      <c r="V7" s="447"/>
      <c r="W7" s="447"/>
      <c r="X7" s="447"/>
      <c r="Y7" s="447"/>
      <c r="Z7" s="447"/>
      <c r="AA7" s="447"/>
      <c r="AB7" s="447"/>
      <c r="AC7" s="447"/>
    </row>
    <row r="8" spans="1:29" s="448" customFormat="1" ht="10.5">
      <c r="A8" s="473">
        <f>Demography!A8</f>
        <v>5</v>
      </c>
      <c r="B8" s="350">
        <v>2</v>
      </c>
      <c r="C8" s="350">
        <v>3</v>
      </c>
      <c r="D8" s="350">
        <v>3</v>
      </c>
      <c r="E8" s="350">
        <v>3</v>
      </c>
      <c r="F8" s="350">
        <v>3</v>
      </c>
      <c r="G8" s="350">
        <v>3</v>
      </c>
      <c r="H8" s="350">
        <v>2</v>
      </c>
      <c r="I8" s="350">
        <v>4</v>
      </c>
      <c r="J8" s="350">
        <v>4</v>
      </c>
      <c r="K8" s="351">
        <v>4</v>
      </c>
      <c r="L8" s="447"/>
      <c r="M8" s="447"/>
      <c r="N8" s="447"/>
      <c r="O8" s="447"/>
      <c r="P8" s="447"/>
      <c r="Q8" s="447"/>
      <c r="R8" s="447"/>
      <c r="S8" s="447"/>
      <c r="T8" s="447"/>
      <c r="U8" s="447"/>
      <c r="V8" s="447"/>
      <c r="W8" s="447"/>
      <c r="X8" s="447"/>
      <c r="Y8" s="447"/>
      <c r="Z8" s="447"/>
      <c r="AA8" s="447"/>
      <c r="AB8" s="447"/>
      <c r="AC8" s="447"/>
    </row>
    <row r="9" spans="1:29" s="448" customFormat="1" ht="10.5">
      <c r="A9" s="473">
        <f>Demography!A9</f>
        <v>6</v>
      </c>
      <c r="B9" s="350">
        <v>4</v>
      </c>
      <c r="C9" s="350">
        <v>4</v>
      </c>
      <c r="D9" s="350">
        <v>4</v>
      </c>
      <c r="E9" s="350">
        <v>4</v>
      </c>
      <c r="F9" s="350">
        <v>2</v>
      </c>
      <c r="G9" s="350">
        <v>4</v>
      </c>
      <c r="H9" s="350">
        <v>5</v>
      </c>
      <c r="I9" s="350">
        <v>4</v>
      </c>
      <c r="J9" s="350">
        <v>4</v>
      </c>
      <c r="K9" s="351">
        <v>1</v>
      </c>
      <c r="L9" s="447"/>
      <c r="M9" s="447"/>
      <c r="N9" s="447"/>
      <c r="O9" s="447"/>
      <c r="P9" s="447"/>
      <c r="Q9" s="447"/>
      <c r="R9" s="447"/>
      <c r="S9" s="447"/>
      <c r="T9" s="447"/>
      <c r="U9" s="447"/>
      <c r="V9" s="447"/>
      <c r="W9" s="447"/>
      <c r="X9" s="447"/>
      <c r="Y9" s="447"/>
      <c r="Z9" s="447"/>
      <c r="AA9" s="447"/>
      <c r="AB9" s="447"/>
      <c r="AC9" s="447"/>
    </row>
    <row r="10" spans="1:29" s="448" customFormat="1" ht="10.5">
      <c r="A10" s="348">
        <f>Demography!A10</f>
        <v>7</v>
      </c>
      <c r="B10" s="350">
        <v>3</v>
      </c>
      <c r="C10" s="350">
        <v>4</v>
      </c>
      <c r="D10" s="350">
        <v>4</v>
      </c>
      <c r="E10" s="350">
        <v>3</v>
      </c>
      <c r="F10" s="350">
        <v>3</v>
      </c>
      <c r="G10" s="350">
        <v>4</v>
      </c>
      <c r="H10" s="350">
        <v>5</v>
      </c>
      <c r="I10" s="350">
        <v>2</v>
      </c>
      <c r="J10" s="350">
        <v>5</v>
      </c>
      <c r="K10" s="351">
        <v>2</v>
      </c>
      <c r="L10" s="447"/>
      <c r="M10" s="447"/>
      <c r="N10" s="447"/>
      <c r="O10" s="447"/>
      <c r="P10" s="447"/>
      <c r="Q10" s="447"/>
      <c r="R10" s="447"/>
      <c r="S10" s="447"/>
      <c r="T10" s="447"/>
      <c r="U10" s="447"/>
      <c r="V10" s="447"/>
      <c r="W10" s="447"/>
      <c r="X10" s="447"/>
      <c r="Y10" s="447"/>
      <c r="Z10" s="447"/>
      <c r="AA10" s="447"/>
      <c r="AB10" s="447"/>
      <c r="AC10" s="447"/>
    </row>
    <row r="11" spans="1:29" s="448" customFormat="1" ht="10.5">
      <c r="A11" s="473">
        <f>Demography!A11</f>
        <v>8</v>
      </c>
      <c r="B11" s="350">
        <v>4</v>
      </c>
      <c r="C11" s="350">
        <v>4</v>
      </c>
      <c r="D11" s="350">
        <v>4</v>
      </c>
      <c r="E11" s="350">
        <v>4</v>
      </c>
      <c r="F11" s="350">
        <v>4</v>
      </c>
      <c r="G11" s="350">
        <v>3</v>
      </c>
      <c r="H11" s="350">
        <v>5</v>
      </c>
      <c r="I11" s="350">
        <v>2</v>
      </c>
      <c r="J11" s="350">
        <v>5</v>
      </c>
      <c r="K11" s="351">
        <v>2</v>
      </c>
      <c r="L11" s="447"/>
      <c r="M11" s="447"/>
      <c r="N11" s="447"/>
      <c r="O11" s="447"/>
      <c r="P11" s="447"/>
      <c r="Q11" s="447"/>
      <c r="R11" s="447"/>
      <c r="S11" s="447"/>
      <c r="T11" s="447"/>
      <c r="U11" s="447"/>
      <c r="V11" s="447"/>
      <c r="W11" s="447"/>
      <c r="X11" s="447"/>
      <c r="Y11" s="447"/>
      <c r="Z11" s="447"/>
      <c r="AA11" s="447"/>
      <c r="AB11" s="447"/>
      <c r="AC11" s="447"/>
    </row>
    <row r="12" spans="1:29" s="448" customFormat="1" ht="10.5">
      <c r="A12" s="473">
        <f>Demography!A12</f>
        <v>9</v>
      </c>
      <c r="B12" s="350">
        <v>3</v>
      </c>
      <c r="C12" s="350">
        <v>3</v>
      </c>
      <c r="D12" s="350">
        <v>4</v>
      </c>
      <c r="E12" s="350">
        <v>4</v>
      </c>
      <c r="F12" s="350">
        <v>3</v>
      </c>
      <c r="G12" s="350">
        <v>3</v>
      </c>
      <c r="H12" s="350">
        <v>5</v>
      </c>
      <c r="I12" s="350">
        <v>4</v>
      </c>
      <c r="J12" s="350">
        <v>5</v>
      </c>
      <c r="K12" s="351">
        <v>4</v>
      </c>
      <c r="L12" s="447"/>
      <c r="M12" s="447"/>
      <c r="N12" s="447"/>
      <c r="O12" s="447"/>
      <c r="P12" s="447"/>
      <c r="Q12" s="447"/>
      <c r="R12" s="447"/>
      <c r="S12" s="447"/>
      <c r="T12" s="447"/>
      <c r="U12" s="447"/>
      <c r="V12" s="447"/>
      <c r="W12" s="447"/>
      <c r="X12" s="447"/>
      <c r="Y12" s="447"/>
      <c r="Z12" s="447"/>
      <c r="AA12" s="447"/>
      <c r="AB12" s="447"/>
      <c r="AC12" s="447"/>
    </row>
    <row r="13" spans="1:29" s="448" customFormat="1" ht="10.5">
      <c r="A13" s="348">
        <f>Demography!A13</f>
        <v>10</v>
      </c>
      <c r="B13" s="350">
        <v>3</v>
      </c>
      <c r="C13" s="350">
        <v>4</v>
      </c>
      <c r="D13" s="350">
        <v>4</v>
      </c>
      <c r="E13" s="350">
        <v>3</v>
      </c>
      <c r="F13" s="350">
        <v>2</v>
      </c>
      <c r="G13" s="350">
        <v>1</v>
      </c>
      <c r="H13" s="350">
        <v>4</v>
      </c>
      <c r="I13" s="350">
        <v>5</v>
      </c>
      <c r="J13" s="350">
        <v>5</v>
      </c>
      <c r="K13" s="351">
        <v>5</v>
      </c>
      <c r="L13" s="447"/>
      <c r="M13" s="447"/>
      <c r="N13" s="447"/>
      <c r="O13" s="447"/>
      <c r="P13" s="447"/>
      <c r="Q13" s="447"/>
      <c r="R13" s="447"/>
      <c r="S13" s="447"/>
      <c r="T13" s="447"/>
      <c r="U13" s="447"/>
      <c r="V13" s="447"/>
      <c r="W13" s="447"/>
      <c r="X13" s="447"/>
      <c r="Y13" s="447"/>
      <c r="Z13" s="447"/>
      <c r="AA13" s="447"/>
      <c r="AB13" s="447"/>
      <c r="AC13" s="447"/>
    </row>
    <row r="14" spans="1:29" s="448" customFormat="1" ht="10.5">
      <c r="A14" s="473">
        <f>Demography!A14</f>
        <v>11</v>
      </c>
      <c r="B14" s="350">
        <v>3</v>
      </c>
      <c r="C14" s="350">
        <v>3</v>
      </c>
      <c r="D14" s="350">
        <v>4</v>
      </c>
      <c r="E14" s="350">
        <v>4</v>
      </c>
      <c r="F14" s="350">
        <v>4</v>
      </c>
      <c r="G14" s="350">
        <v>4</v>
      </c>
      <c r="H14" s="350">
        <v>5</v>
      </c>
      <c r="I14" s="350">
        <v>2</v>
      </c>
      <c r="J14" s="350">
        <v>5</v>
      </c>
      <c r="K14" s="351">
        <v>4</v>
      </c>
      <c r="L14" s="447"/>
      <c r="M14" s="447"/>
      <c r="N14" s="447"/>
      <c r="O14" s="447"/>
      <c r="P14" s="447"/>
      <c r="Q14" s="447"/>
      <c r="R14" s="447"/>
      <c r="S14" s="447"/>
      <c r="T14" s="447"/>
      <c r="U14" s="447"/>
      <c r="V14" s="447"/>
      <c r="W14" s="447"/>
      <c r="X14" s="447"/>
      <c r="Y14" s="447"/>
      <c r="Z14" s="447"/>
      <c r="AA14" s="447"/>
      <c r="AB14" s="447"/>
      <c r="AC14" s="447"/>
    </row>
    <row r="15" spans="1:29" s="448" customFormat="1" ht="11.25" thickBot="1">
      <c r="A15" s="355">
        <f>Demography!A15</f>
        <v>12</v>
      </c>
      <c r="B15" s="362" t="s">
        <v>72</v>
      </c>
      <c r="C15" s="362" t="s">
        <v>72</v>
      </c>
      <c r="D15" s="362" t="s">
        <v>72</v>
      </c>
      <c r="E15" s="362" t="s">
        <v>72</v>
      </c>
      <c r="F15" s="362" t="s">
        <v>72</v>
      </c>
      <c r="G15" s="362" t="s">
        <v>72</v>
      </c>
      <c r="H15" s="362" t="s">
        <v>72</v>
      </c>
      <c r="I15" s="362" t="s">
        <v>72</v>
      </c>
      <c r="J15" s="362" t="s">
        <v>72</v>
      </c>
      <c r="K15" s="364" t="s">
        <v>72</v>
      </c>
      <c r="L15" s="447"/>
      <c r="M15" s="447"/>
      <c r="N15" s="447"/>
      <c r="O15" s="447"/>
      <c r="P15" s="447"/>
      <c r="Q15" s="447"/>
      <c r="R15" s="447"/>
      <c r="S15" s="447"/>
      <c r="T15" s="447"/>
      <c r="U15" s="447"/>
      <c r="V15" s="447"/>
      <c r="W15" s="447"/>
      <c r="X15" s="447"/>
      <c r="Y15" s="447"/>
      <c r="Z15" s="447"/>
      <c r="AA15" s="447"/>
      <c r="AB15" s="447"/>
      <c r="AC15" s="447"/>
    </row>
    <row r="16" spans="1:29" s="11" customFormat="1" ht="11.25" thickBot="1">
      <c r="A16" s="331" t="str">
        <f>'Visit 5'!A17</f>
        <v>Subjects who completed study and continued to wear Trifield glasses: 1-6, 8-9, and S11</v>
      </c>
      <c r="B16" s="331"/>
      <c r="C16" s="331"/>
      <c r="D16" s="110"/>
      <c r="L16"/>
      <c r="M16"/>
      <c r="N16"/>
      <c r="O16"/>
      <c r="P16"/>
      <c r="Q16"/>
      <c r="R16"/>
      <c r="S16"/>
      <c r="T16"/>
      <c r="U16"/>
      <c r="V16"/>
      <c r="W16"/>
      <c r="X16"/>
      <c r="Y16"/>
      <c r="Z16"/>
      <c r="AA16"/>
      <c r="AB16"/>
      <c r="AC16"/>
    </row>
    <row r="17" spans="1:29" s="389" customFormat="1" ht="10.5">
      <c r="A17" s="449" t="s">
        <v>194</v>
      </c>
      <c r="B17" s="450">
        <f aca="true" t="shared" si="0" ref="B17:K17">AVERAGE(B4:B15)</f>
        <v>2.909090909090909</v>
      </c>
      <c r="C17" s="450">
        <f t="shared" si="0"/>
        <v>3.3636363636363638</v>
      </c>
      <c r="D17" s="450">
        <f t="shared" si="0"/>
        <v>3.909090909090909</v>
      </c>
      <c r="E17" s="450">
        <f t="shared" si="0"/>
        <v>3.5454545454545454</v>
      </c>
      <c r="F17" s="450">
        <f t="shared" si="0"/>
        <v>3.5</v>
      </c>
      <c r="G17" s="450">
        <f t="shared" si="0"/>
        <v>3.272727272727273</v>
      </c>
      <c r="H17" s="450">
        <f t="shared" si="0"/>
        <v>4.090909090909091</v>
      </c>
      <c r="I17" s="450">
        <f t="shared" si="0"/>
        <v>3.090909090909091</v>
      </c>
      <c r="J17" s="450">
        <f t="shared" si="0"/>
        <v>4.636363636363637</v>
      </c>
      <c r="K17" s="451">
        <f t="shared" si="0"/>
        <v>3.5454545454545454</v>
      </c>
      <c r="L17" s="447"/>
      <c r="M17" s="447"/>
      <c r="N17" s="447"/>
      <c r="O17" s="447"/>
      <c r="P17" s="447"/>
      <c r="Q17" s="447"/>
      <c r="R17" s="447"/>
      <c r="S17" s="447"/>
      <c r="T17" s="447"/>
      <c r="U17" s="447"/>
      <c r="V17" s="447"/>
      <c r="W17" s="447"/>
      <c r="X17" s="447"/>
      <c r="Y17" s="447"/>
      <c r="Z17" s="447"/>
      <c r="AA17" s="447"/>
      <c r="AB17" s="447"/>
      <c r="AC17" s="447"/>
    </row>
    <row r="18" spans="1:29" s="448" customFormat="1" ht="10.5">
      <c r="A18" s="452" t="s">
        <v>195</v>
      </c>
      <c r="B18" s="392">
        <f aca="true" t="shared" si="1" ref="B18:K18">STDEV(B4:B15)</f>
        <v>0.7006490497453705</v>
      </c>
      <c r="C18" s="392">
        <f t="shared" si="1"/>
        <v>0.5045249791095131</v>
      </c>
      <c r="D18" s="392">
        <f t="shared" si="1"/>
        <v>0.3015113445777632</v>
      </c>
      <c r="E18" s="392">
        <f t="shared" si="1"/>
        <v>0.5222329678670927</v>
      </c>
      <c r="F18" s="392">
        <f t="shared" si="1"/>
        <v>1.0801234497346435</v>
      </c>
      <c r="G18" s="392">
        <f t="shared" si="1"/>
        <v>1.0090499582190262</v>
      </c>
      <c r="H18" s="392">
        <f t="shared" si="1"/>
        <v>1.3751033019046572</v>
      </c>
      <c r="I18" s="392">
        <f t="shared" si="1"/>
        <v>1.3751033019046572</v>
      </c>
      <c r="J18" s="392">
        <f t="shared" si="1"/>
        <v>0.5045249791095118</v>
      </c>
      <c r="K18" s="453">
        <f t="shared" si="1"/>
        <v>1.2933395813657262</v>
      </c>
      <c r="L18" s="447"/>
      <c r="M18" s="447"/>
      <c r="N18" s="447"/>
      <c r="O18" s="447"/>
      <c r="P18" s="447"/>
      <c r="Q18" s="447"/>
      <c r="R18" s="447"/>
      <c r="S18" s="447"/>
      <c r="T18" s="447"/>
      <c r="U18" s="447"/>
      <c r="V18" s="447"/>
      <c r="W18" s="447"/>
      <c r="X18" s="447"/>
      <c r="Y18" s="447"/>
      <c r="Z18" s="447"/>
      <c r="AA18" s="447"/>
      <c r="AB18" s="447"/>
      <c r="AC18" s="447"/>
    </row>
    <row r="19" spans="1:29" s="448" customFormat="1" ht="11.25" thickBot="1">
      <c r="A19" s="454" t="s">
        <v>196</v>
      </c>
      <c r="B19" s="402">
        <f aca="true" t="shared" si="2" ref="B19:K19">MEDIAN(B4:B15)</f>
        <v>3</v>
      </c>
      <c r="C19" s="402">
        <f t="shared" si="2"/>
        <v>3</v>
      </c>
      <c r="D19" s="402">
        <f t="shared" si="2"/>
        <v>4</v>
      </c>
      <c r="E19" s="402">
        <f t="shared" si="2"/>
        <v>4</v>
      </c>
      <c r="F19" s="402">
        <f t="shared" si="2"/>
        <v>3.5</v>
      </c>
      <c r="G19" s="402">
        <f t="shared" si="2"/>
        <v>3</v>
      </c>
      <c r="H19" s="402">
        <f t="shared" si="2"/>
        <v>5</v>
      </c>
      <c r="I19" s="402">
        <f t="shared" si="2"/>
        <v>3</v>
      </c>
      <c r="J19" s="402">
        <f t="shared" si="2"/>
        <v>5</v>
      </c>
      <c r="K19" s="455">
        <f t="shared" si="2"/>
        <v>4</v>
      </c>
      <c r="L19" s="447"/>
      <c r="M19" s="447"/>
      <c r="N19" s="447"/>
      <c r="O19" s="447"/>
      <c r="P19" s="447"/>
      <c r="Q19" s="447"/>
      <c r="R19" s="447"/>
      <c r="S19" s="447"/>
      <c r="T19" s="447"/>
      <c r="U19" s="447"/>
      <c r="V19" s="447"/>
      <c r="W19" s="447"/>
      <c r="X19" s="447"/>
      <c r="Y19" s="447"/>
      <c r="Z19" s="447"/>
      <c r="AA19" s="447"/>
      <c r="AB19" s="447"/>
      <c r="AC19" s="447"/>
    </row>
    <row r="20" spans="2:29" ht="10.5">
      <c r="B20" s="11"/>
      <c r="C20" s="11"/>
      <c r="D20" s="11"/>
      <c r="E20" s="11"/>
      <c r="F20" s="11"/>
      <c r="G20" s="11"/>
      <c r="H20" s="11"/>
      <c r="I20" s="11"/>
      <c r="J20" s="11"/>
      <c r="K20" s="11"/>
      <c r="L20"/>
      <c r="M20"/>
      <c r="N20"/>
      <c r="O20"/>
      <c r="P20"/>
      <c r="Q20"/>
      <c r="R20"/>
      <c r="S20"/>
      <c r="T20"/>
      <c r="U20"/>
      <c r="V20"/>
      <c r="W20"/>
      <c r="X20"/>
      <c r="Y20"/>
      <c r="Z20"/>
      <c r="AA20"/>
      <c r="AB20"/>
      <c r="AC20"/>
    </row>
    <row r="21" spans="2:22" ht="10.5" customHeight="1">
      <c r="B21" s="492" t="s">
        <v>222</v>
      </c>
      <c r="C21" s="492"/>
      <c r="D21" s="492"/>
      <c r="E21" s="492"/>
      <c r="F21" s="130"/>
      <c r="G21" s="130"/>
      <c r="H21" s="130"/>
      <c r="I21" s="130"/>
      <c r="J21" s="130"/>
      <c r="K21" s="130"/>
      <c r="L21" s="130"/>
      <c r="M21" s="130"/>
      <c r="N21" s="130"/>
      <c r="O21" s="11"/>
      <c r="P21" s="11"/>
      <c r="Q21" s="11"/>
      <c r="R21" s="11"/>
      <c r="S21" s="11"/>
      <c r="T21" s="11"/>
      <c r="U21" s="11"/>
      <c r="V21" s="11"/>
    </row>
    <row r="22" spans="2:20" ht="15" customHeight="1">
      <c r="B22" s="492"/>
      <c r="C22" s="492"/>
      <c r="D22" s="492"/>
      <c r="E22" s="492"/>
      <c r="F22" s="130"/>
      <c r="G22" s="130"/>
      <c r="H22" s="130"/>
      <c r="I22" s="130"/>
      <c r="J22" s="130"/>
      <c r="K22" s="130"/>
      <c r="L22" s="130"/>
      <c r="M22" s="130"/>
      <c r="N22" s="130"/>
      <c r="O22" s="11"/>
      <c r="P22" s="11"/>
      <c r="Q22" s="11"/>
      <c r="R22" s="11"/>
      <c r="S22" s="11"/>
      <c r="T22" s="11"/>
    </row>
    <row r="23" spans="2:18" ht="12">
      <c r="B23" s="493" t="s">
        <v>223</v>
      </c>
      <c r="C23" s="493"/>
      <c r="D23" s="446"/>
      <c r="E23" s="446"/>
      <c r="R23" s="11"/>
    </row>
    <row r="24" spans="2:3" ht="10.5">
      <c r="B24" s="84" t="s">
        <v>221</v>
      </c>
      <c r="C24" s="84"/>
    </row>
  </sheetData>
  <mergeCells count="6">
    <mergeCell ref="A16:C16"/>
    <mergeCell ref="B1:K1"/>
    <mergeCell ref="B21:E22"/>
    <mergeCell ref="A1:A2"/>
    <mergeCell ref="B2:G2"/>
    <mergeCell ref="H2:K2"/>
  </mergeCells>
  <printOptions/>
  <pageMargins left="0.75" right="0.75" top="1" bottom="1" header="0.5" footer="0.5"/>
  <pageSetup horizontalDpi="1200" verticalDpi="1200" orientation="portrait" r:id="rId1"/>
</worksheet>
</file>

<file path=xl/worksheets/sheet12.xml><?xml version="1.0" encoding="utf-8"?>
<worksheet xmlns="http://schemas.openxmlformats.org/spreadsheetml/2006/main" xmlns:r="http://schemas.openxmlformats.org/officeDocument/2006/relationships">
  <dimension ref="A1:Q4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J8" sqref="J8"/>
    </sheetView>
  </sheetViews>
  <sheetFormatPr defaultColWidth="9.140625" defaultRowHeight="12"/>
  <cols>
    <col min="1" max="1" width="22.140625" style="0" bestFit="1" customWidth="1"/>
    <col min="2" max="2" width="17.7109375" style="6" customWidth="1"/>
    <col min="3" max="3" width="16.7109375" style="6" customWidth="1"/>
    <col min="4" max="4" width="14.7109375" style="6" customWidth="1"/>
    <col min="5" max="5" width="14.00390625" style="6" bestFit="1" customWidth="1"/>
    <col min="6" max="6" width="12.8515625" style="6" bestFit="1" customWidth="1"/>
    <col min="7" max="7" width="12.28125" style="6" bestFit="1" customWidth="1"/>
    <col min="8" max="8" width="17.140625" style="6" bestFit="1" customWidth="1"/>
    <col min="9" max="9" width="16.28125" style="0" customWidth="1"/>
    <col min="10" max="13" width="12.00390625" style="0" customWidth="1"/>
    <col min="14" max="14" width="12.00390625" style="27" customWidth="1"/>
    <col min="15" max="16" width="12.00390625" style="0" customWidth="1"/>
    <col min="17" max="17" width="15.28125" style="6" customWidth="1"/>
    <col min="18" max="16384" width="12.00390625" style="0" customWidth="1"/>
  </cols>
  <sheetData>
    <row r="1" spans="1:17" ht="28.5" customHeight="1">
      <c r="A1" s="232" t="s">
        <v>111</v>
      </c>
      <c r="B1" s="564" t="s">
        <v>40</v>
      </c>
      <c r="C1" s="564"/>
      <c r="D1" s="564"/>
      <c r="E1" s="564"/>
      <c r="F1" s="564"/>
      <c r="G1" s="564"/>
      <c r="H1" s="335" t="s">
        <v>257</v>
      </c>
      <c r="I1" s="336" t="s">
        <v>258</v>
      </c>
      <c r="N1"/>
      <c r="Q1"/>
    </row>
    <row r="2" spans="1:17" ht="31.5" customHeight="1">
      <c r="A2" s="233"/>
      <c r="B2" s="254" t="s">
        <v>179</v>
      </c>
      <c r="C2" s="253"/>
      <c r="D2" s="264"/>
      <c r="E2" s="271" t="s">
        <v>180</v>
      </c>
      <c r="F2" s="319"/>
      <c r="G2" s="319"/>
      <c r="H2" s="143"/>
      <c r="I2" s="250"/>
      <c r="N2"/>
      <c r="Q2"/>
    </row>
    <row r="3" spans="1:17" ht="34.5" customHeight="1">
      <c r="A3" s="565" t="s">
        <v>234</v>
      </c>
      <c r="B3" s="40" t="s">
        <v>68</v>
      </c>
      <c r="C3" s="66" t="s">
        <v>69</v>
      </c>
      <c r="D3" s="90" t="s">
        <v>11</v>
      </c>
      <c r="E3" s="66" t="s">
        <v>60</v>
      </c>
      <c r="F3" s="40" t="s">
        <v>61</v>
      </c>
      <c r="G3" s="66" t="s">
        <v>11</v>
      </c>
      <c r="H3" s="143"/>
      <c r="I3" s="250"/>
      <c r="N3"/>
      <c r="Q3"/>
    </row>
    <row r="4" spans="1:9" s="447" customFormat="1" ht="10.5">
      <c r="A4" s="473">
        <f>Demography!A4</f>
        <v>1</v>
      </c>
      <c r="B4" s="350">
        <f>IF('Visit 1'!Y5="","",MAX('Visit 1'!Y5,'Visit 1'!W5))</f>
        <v>4</v>
      </c>
      <c r="C4" s="350">
        <f>IF('Visit 1'!Z5="","",MAX('Visit 1'!Z5,'Visit 1'!X5))</f>
        <v>3.5</v>
      </c>
      <c r="D4" s="350">
        <f>IF(B4="","",SUM(B4:C4))</f>
        <v>7.5</v>
      </c>
      <c r="E4" s="387">
        <f>IF('Visit 2'!AE5="","",'Visit 2'!AE5)</f>
        <v>8</v>
      </c>
      <c r="F4" s="350">
        <f>IF('Visit 2'!AG5="","",'Visit 2'!AG5)</f>
        <v>12</v>
      </c>
      <c r="G4" s="350">
        <f>IF(E4="","",SUM(E4:F4))</f>
        <v>20</v>
      </c>
      <c r="H4" s="557">
        <f>IF(E4="","",G4-D4)</f>
        <v>12.5</v>
      </c>
      <c r="I4" s="515">
        <f>G4/D4</f>
        <v>2.6666666666666665</v>
      </c>
    </row>
    <row r="5" spans="1:9" s="447" customFormat="1" ht="10.5">
      <c r="A5" s="473">
        <f>Demography!A5</f>
        <v>2</v>
      </c>
      <c r="B5" s="350">
        <f>IF('Visit 1'!Y6="","",MAX('Visit 1'!Y6,'Visit 1'!W6))</f>
        <v>4.5</v>
      </c>
      <c r="C5" s="350">
        <f>IF('Visit 1'!Z6="","",MAX('Visit 1'!Z6,'Visit 1'!X6))</f>
        <v>5</v>
      </c>
      <c r="D5" s="350">
        <f aca="true" t="shared" si="0" ref="D5:D14">IF(B5="","",SUM(B5:C5))</f>
        <v>9.5</v>
      </c>
      <c r="E5" s="387">
        <f>IF('Visit 2'!AE6="","",'Visit 2'!AE6)</f>
        <v>10.5</v>
      </c>
      <c r="F5" s="350">
        <f>IF('Visit 2'!AG6="","",'Visit 2'!AG6)</f>
        <v>18</v>
      </c>
      <c r="G5" s="350">
        <f aca="true" t="shared" si="1" ref="G5:G14">IF(E5="","",SUM(E5:F5))</f>
        <v>28.5</v>
      </c>
      <c r="H5" s="387">
        <f aca="true" t="shared" si="2" ref="H5:H14">IF(E5="","",G5-D5)</f>
        <v>19</v>
      </c>
      <c r="I5" s="515">
        <f aca="true" t="shared" si="3" ref="I5:I15">G5/D5</f>
        <v>3</v>
      </c>
    </row>
    <row r="6" spans="1:9" s="447" customFormat="1" ht="10.5">
      <c r="A6" s="473">
        <f>Demography!A6</f>
        <v>3</v>
      </c>
      <c r="B6" s="350">
        <f>IF('Visit 1'!Y7="","",MAX('Visit 1'!Y7,'Visit 1'!W7))</f>
        <v>7</v>
      </c>
      <c r="C6" s="350">
        <f>IF('Visit 1'!Z7="","",MAX('Visit 1'!Z7,'Visit 1'!X7))</f>
        <v>9</v>
      </c>
      <c r="D6" s="350">
        <f t="shared" si="0"/>
        <v>16</v>
      </c>
      <c r="E6" s="387">
        <f>IF('Visit 2'!AE7="","",'Visit 2'!AE7)</f>
        <v>9</v>
      </c>
      <c r="F6" s="350">
        <f>IF('Visit 2'!AG7="","",'Visit 2'!AG7)</f>
        <v>20</v>
      </c>
      <c r="G6" s="350">
        <f t="shared" si="1"/>
        <v>29</v>
      </c>
      <c r="H6" s="387">
        <f t="shared" si="2"/>
        <v>13</v>
      </c>
      <c r="I6" s="515">
        <f t="shared" si="3"/>
        <v>1.8125</v>
      </c>
    </row>
    <row r="7" spans="1:9" s="447" customFormat="1" ht="10.5">
      <c r="A7" s="473">
        <f>Demography!A7</f>
        <v>4</v>
      </c>
      <c r="B7" s="350">
        <f>IF('Visit 1'!Y8="","",MAX('Visit 1'!Y8,'Visit 1'!W8))</f>
        <v>11.5</v>
      </c>
      <c r="C7" s="350">
        <f>IF('Visit 1'!Z8="","",MAX('Visit 1'!Z8,'Visit 1'!X8))</f>
        <v>10</v>
      </c>
      <c r="D7" s="350">
        <f t="shared" si="0"/>
        <v>21.5</v>
      </c>
      <c r="E7" s="387">
        <f>IF('Visit 2'!AE8="","",'Visit 2'!AE8)</f>
        <v>23</v>
      </c>
      <c r="F7" s="350">
        <f>IF('Visit 2'!AG8="","",'Visit 2'!AG8)</f>
        <v>28</v>
      </c>
      <c r="G7" s="350">
        <f t="shared" si="1"/>
        <v>51</v>
      </c>
      <c r="H7" s="387">
        <f t="shared" si="2"/>
        <v>29.5</v>
      </c>
      <c r="I7" s="515">
        <f t="shared" si="3"/>
        <v>2.372093023255814</v>
      </c>
    </row>
    <row r="8" spans="1:9" s="447" customFormat="1" ht="10.5">
      <c r="A8" s="473">
        <f>Demography!A8</f>
        <v>5</v>
      </c>
      <c r="B8" s="353">
        <f>IF('Visit 1'!Y9="","",MAX('Visit 1'!Y9,'Visit 1'!W9))</f>
        <v>8</v>
      </c>
      <c r="C8" s="350">
        <f>IF('Visit 1'!Z9="","",MAX('Visit 1'!Z9,'Visit 1'!X9))</f>
        <v>7</v>
      </c>
      <c r="D8" s="350">
        <f t="shared" si="0"/>
        <v>15</v>
      </c>
      <c r="E8" s="387">
        <f>IF('Visit 2'!AE9="","",'Visit 2'!AE9)</f>
        <v>12</v>
      </c>
      <c r="F8" s="350">
        <f>IF('Visit 2'!AG9="","",'Visit 2'!AG9)</f>
        <v>12</v>
      </c>
      <c r="G8" s="350">
        <f t="shared" si="1"/>
        <v>24</v>
      </c>
      <c r="H8" s="387">
        <f t="shared" si="2"/>
        <v>9</v>
      </c>
      <c r="I8" s="515">
        <f t="shared" si="3"/>
        <v>1.6</v>
      </c>
    </row>
    <row r="9" spans="1:9" s="447" customFormat="1" ht="10.5">
      <c r="A9" s="473">
        <f>Demography!A9</f>
        <v>6</v>
      </c>
      <c r="B9" s="353">
        <f>IF('Visit 1'!Y10="","",MAX('Visit 1'!Y10,'Visit 1'!W10))</f>
        <v>4.5</v>
      </c>
      <c r="C9" s="350">
        <f>IF('Visit 1'!Z10="","",MAX('Visit 1'!Z10,'Visit 1'!X10))</f>
        <v>4</v>
      </c>
      <c r="D9" s="350">
        <f t="shared" si="0"/>
        <v>8.5</v>
      </c>
      <c r="E9" s="387">
        <f>IF('Visit 2'!AE10="","",'Visit 2'!AE10)</f>
        <v>15</v>
      </c>
      <c r="F9" s="350">
        <f>IF('Visit 2'!AG10="","",'Visit 2'!AG10)</f>
        <v>19</v>
      </c>
      <c r="G9" s="350">
        <f t="shared" si="1"/>
        <v>34</v>
      </c>
      <c r="H9" s="387">
        <f t="shared" si="2"/>
        <v>25.5</v>
      </c>
      <c r="I9" s="515">
        <f t="shared" si="3"/>
        <v>4</v>
      </c>
    </row>
    <row r="10" spans="1:9" s="447" customFormat="1" ht="10.5">
      <c r="A10" s="348">
        <f>Demography!A10</f>
        <v>7</v>
      </c>
      <c r="B10" s="353">
        <f>IF('Visit 1'!Y11="","",MAX('Visit 1'!Y11,'Visit 1'!W11))</f>
        <v>8.5</v>
      </c>
      <c r="C10" s="350">
        <f>IF('Visit 1'!Z11="","",MAX('Visit 1'!Z11,'Visit 1'!X11))</f>
        <v>8</v>
      </c>
      <c r="D10" s="350">
        <f t="shared" si="0"/>
        <v>16.5</v>
      </c>
      <c r="E10" s="387">
        <f>IF('Visit 2'!AE11="","",'Visit 2'!AE11)</f>
        <v>19</v>
      </c>
      <c r="F10" s="350">
        <f>IF('Visit 2'!AG11="","",'Visit 2'!AG11)</f>
        <v>22</v>
      </c>
      <c r="G10" s="350">
        <f t="shared" si="1"/>
        <v>41</v>
      </c>
      <c r="H10" s="387">
        <f t="shared" si="2"/>
        <v>24.5</v>
      </c>
      <c r="I10" s="515">
        <f t="shared" si="3"/>
        <v>2.484848484848485</v>
      </c>
    </row>
    <row r="11" spans="1:9" s="447" customFormat="1" ht="10.5">
      <c r="A11" s="473">
        <f>Demography!A11</f>
        <v>8</v>
      </c>
      <c r="B11" s="353">
        <f>IF('Visit 1'!Y12="","",MAX('Visit 1'!Y12,'Visit 1'!W12))</f>
        <v>3.5</v>
      </c>
      <c r="C11" s="350">
        <f>IF('Visit 1'!Z12="","",MAX('Visit 1'!Z12,'Visit 1'!X12))</f>
        <v>4</v>
      </c>
      <c r="D11" s="350">
        <f t="shared" si="0"/>
        <v>7.5</v>
      </c>
      <c r="E11" s="387">
        <f>IF('Visit 2'!AE12="","",'Visit 2'!AE12)</f>
        <v>10</v>
      </c>
      <c r="F11" s="350">
        <f>IF('Visit 2'!AG12="","",'Visit 2'!AG12)</f>
        <v>8</v>
      </c>
      <c r="G11" s="350">
        <f t="shared" si="1"/>
        <v>18</v>
      </c>
      <c r="H11" s="387">
        <f t="shared" si="2"/>
        <v>10.5</v>
      </c>
      <c r="I11" s="515">
        <f t="shared" si="3"/>
        <v>2.4</v>
      </c>
    </row>
    <row r="12" spans="1:9" s="447" customFormat="1" ht="10.5">
      <c r="A12" s="473">
        <f>Demography!A12</f>
        <v>9</v>
      </c>
      <c r="B12" s="353">
        <f>IF('Visit 1'!Y13="","",MAX('Visit 1'!Y13,'Visit 1'!W13))</f>
        <v>4</v>
      </c>
      <c r="C12" s="350">
        <f>IF('Visit 1'!Z13="","",MAX('Visit 1'!Z13,'Visit 1'!X13))</f>
        <v>6</v>
      </c>
      <c r="D12" s="350">
        <f t="shared" si="0"/>
        <v>10</v>
      </c>
      <c r="E12" s="387">
        <f>IF('Visit 2'!AE13="","",'Visit 2'!AE13)</f>
        <v>10</v>
      </c>
      <c r="F12" s="350">
        <f>IF('Visit 2'!AG13="","",'Visit 2'!AG13)</f>
        <v>18</v>
      </c>
      <c r="G12" s="350">
        <f t="shared" si="1"/>
        <v>28</v>
      </c>
      <c r="H12" s="387">
        <f t="shared" si="2"/>
        <v>18</v>
      </c>
      <c r="I12" s="515">
        <f t="shared" si="3"/>
        <v>2.8</v>
      </c>
    </row>
    <row r="13" spans="1:9" s="447" customFormat="1" ht="10.5">
      <c r="A13" s="348">
        <f>Demography!A13</f>
        <v>10</v>
      </c>
      <c r="B13" s="350">
        <f>IF('Visit 1'!Y14="","",MAX('Visit 1'!Y14,'Visit 1'!W14))</f>
        <v>9</v>
      </c>
      <c r="C13" s="350">
        <f>IF('Visit 1'!Z14="","",MAX('Visit 1'!Z14,'Visit 1'!X14))</f>
        <v>8</v>
      </c>
      <c r="D13" s="350">
        <f t="shared" si="0"/>
        <v>17</v>
      </c>
      <c r="E13" s="387">
        <f>IF('Visit 2'!AE14="","",'Visit 2'!AE14)</f>
        <v>30</v>
      </c>
      <c r="F13" s="350">
        <f>IF('Visit 2'!AG14="","",'Visit 2'!AG14)</f>
        <v>25</v>
      </c>
      <c r="G13" s="350">
        <f t="shared" si="1"/>
        <v>55</v>
      </c>
      <c r="H13" s="387">
        <f t="shared" si="2"/>
        <v>38</v>
      </c>
      <c r="I13" s="515">
        <f t="shared" si="3"/>
        <v>3.235294117647059</v>
      </c>
    </row>
    <row r="14" spans="1:9" s="447" customFormat="1" ht="10.5">
      <c r="A14" s="473">
        <f>Demography!A14</f>
        <v>11</v>
      </c>
      <c r="B14" s="350">
        <f>IF('Visit 1'!Y15="","",MAX('Visit 1'!Y15,'Visit 1'!W15))</f>
        <v>4</v>
      </c>
      <c r="C14" s="350">
        <f>IF('Visit 1'!Z15="","",MAX('Visit 1'!Z15,'Visit 1'!X15))</f>
        <v>4</v>
      </c>
      <c r="D14" s="350">
        <f t="shared" si="0"/>
        <v>8</v>
      </c>
      <c r="E14" s="387">
        <f>IF('Visit 2'!AE15="","",'Visit 2'!AE15)</f>
        <v>17</v>
      </c>
      <c r="F14" s="350">
        <f>IF('Visit 2'!AG15="","",'Visit 2'!AG15)</f>
        <v>9</v>
      </c>
      <c r="G14" s="350">
        <f t="shared" si="1"/>
        <v>26</v>
      </c>
      <c r="H14" s="387">
        <f t="shared" si="2"/>
        <v>18</v>
      </c>
      <c r="I14" s="515">
        <f t="shared" si="3"/>
        <v>3.25</v>
      </c>
    </row>
    <row r="15" spans="1:9" s="447" customFormat="1" ht="11.25" thickBot="1">
      <c r="A15" s="355">
        <f>Demography!A15</f>
        <v>12</v>
      </c>
      <c r="B15" s="362">
        <f>IF('Visit 1'!Y16="","",MAX('Visit 1'!Y16,'Visit 1'!W16))</f>
        <v>2.5</v>
      </c>
      <c r="C15" s="362">
        <f>IF('Visit 1'!Z16="","",MAX('Visit 1'!Z16,'Visit 1'!X16))</f>
        <v>2.5</v>
      </c>
      <c r="D15" s="362">
        <f>IF(B15="","",SUM(B15:C15))</f>
        <v>5</v>
      </c>
      <c r="E15" s="403">
        <f>IF('Visit 2'!AE16="","",'Visit 2'!AE16)</f>
        <v>9</v>
      </c>
      <c r="F15" s="362">
        <f>IF('Visit 2'!AG16="","",'Visit 2'!AG16)</f>
        <v>14</v>
      </c>
      <c r="G15" s="362">
        <f>IF(E15="","",SUM(E15:F15))</f>
        <v>23</v>
      </c>
      <c r="H15" s="403">
        <f>IF(E15="","",G15-D15)</f>
        <v>18</v>
      </c>
      <c r="I15" s="518">
        <f t="shared" si="3"/>
        <v>4.6</v>
      </c>
    </row>
    <row r="16" spans="1:17" ht="14.25" customHeight="1">
      <c r="A16" s="203" t="str">
        <f>'Visit 5'!A17</f>
        <v>Subjects who completed study and continued to wear Trifield glasses: 1-6, 8-9, and S11</v>
      </c>
      <c r="B16" s="204"/>
      <c r="C16" s="204"/>
      <c r="D16" s="204"/>
      <c r="E16" s="138"/>
      <c r="F16" s="236" t="s">
        <v>176</v>
      </c>
      <c r="G16" s="236" t="s">
        <v>177</v>
      </c>
      <c r="H16" s="332" t="s">
        <v>204</v>
      </c>
      <c r="I16" s="332" t="s">
        <v>178</v>
      </c>
      <c r="M16" s="2"/>
      <c r="N16" s="30"/>
      <c r="O16" s="2"/>
      <c r="P16" s="2"/>
      <c r="Q16" s="11"/>
    </row>
    <row r="17" spans="5:9" ht="28.5" customHeight="1" thickBot="1">
      <c r="E17" s="91"/>
      <c r="F17" s="334"/>
      <c r="G17" s="334"/>
      <c r="H17" s="333"/>
      <c r="I17" s="333"/>
    </row>
    <row r="18" spans="2:9" ht="10.5">
      <c r="B18" s="110"/>
      <c r="C18" s="11"/>
      <c r="E18" s="359" t="s">
        <v>175</v>
      </c>
      <c r="F18" s="384">
        <f>AVERAGE(D4:D15)</f>
        <v>11.833333333333334</v>
      </c>
      <c r="G18" s="384">
        <f>AVERAGE(G4:G15)</f>
        <v>31.458333333333332</v>
      </c>
      <c r="H18" s="558">
        <f>AVERAGE(H4:H15)</f>
        <v>19.625</v>
      </c>
      <c r="I18" s="558">
        <f>AVERAGE(I4:I15)</f>
        <v>2.851783524368168</v>
      </c>
    </row>
    <row r="19" spans="2:9" ht="10.5">
      <c r="B19" s="11"/>
      <c r="C19" s="11"/>
      <c r="E19" s="359" t="s">
        <v>174</v>
      </c>
      <c r="F19" s="384">
        <f>STDEV(D4:D15)</f>
        <v>5.11829753892539</v>
      </c>
      <c r="G19" s="384">
        <f>STDEV(G4:G15)</f>
        <v>11.79263701971649</v>
      </c>
      <c r="H19" s="559">
        <f>STDEV(H4:H15)</f>
        <v>8.488294078531702</v>
      </c>
      <c r="I19" s="559">
        <f>STDEV(I4:I15)</f>
        <v>0.8504096047377683</v>
      </c>
    </row>
    <row r="20" spans="5:11" ht="10.5">
      <c r="E20" s="359" t="s">
        <v>120</v>
      </c>
      <c r="F20" s="350">
        <f>MEDIAN(D4:D15)</f>
        <v>9.75</v>
      </c>
      <c r="G20" s="350">
        <f>MEDIAN(G4:G15)</f>
        <v>28.25</v>
      </c>
      <c r="H20" s="560">
        <f>MEDIAN(H4:H15)</f>
        <v>18</v>
      </c>
      <c r="I20" s="559">
        <f>MEDIAN(I4:I15)</f>
        <v>2.7333333333333334</v>
      </c>
      <c r="K20" t="s">
        <v>106</v>
      </c>
    </row>
    <row r="21" spans="5:9" ht="10.5">
      <c r="E21" s="359" t="s">
        <v>118</v>
      </c>
      <c r="F21" s="350">
        <f>MIN(D4:D15)</f>
        <v>5</v>
      </c>
      <c r="G21" s="350">
        <f>MIN(G4:G15)</f>
        <v>18</v>
      </c>
      <c r="H21" s="561">
        <f>MIN(H4:H15)</f>
        <v>9</v>
      </c>
      <c r="I21" s="559">
        <f>MIN(I4:I15)</f>
        <v>1.6</v>
      </c>
    </row>
    <row r="22" spans="5:9" ht="11.25" thickBot="1">
      <c r="E22" s="361" t="s">
        <v>119</v>
      </c>
      <c r="F22" s="362">
        <f>MAX(D4:D15)</f>
        <v>21.5</v>
      </c>
      <c r="G22" s="362">
        <f>MAX(G4:G15)</f>
        <v>55</v>
      </c>
      <c r="H22" s="562">
        <f>MAX(H4:H15)</f>
        <v>38</v>
      </c>
      <c r="I22" s="563">
        <f>MAX(I4:I15)</f>
        <v>4.6</v>
      </c>
    </row>
    <row r="24" spans="3:9" ht="10.5">
      <c r="C24" s="11"/>
      <c r="D24" s="11"/>
      <c r="E24" s="11"/>
      <c r="F24" s="11"/>
      <c r="G24" s="11"/>
      <c r="H24" s="11"/>
      <c r="I24" s="2"/>
    </row>
    <row r="25" spans="3:9" ht="10.5">
      <c r="C25" s="11"/>
      <c r="D25" s="11"/>
      <c r="E25" s="11"/>
      <c r="F25" s="11"/>
      <c r="G25" s="11"/>
      <c r="H25" s="43"/>
      <c r="I25" s="135"/>
    </row>
    <row r="26" spans="3:9" ht="10.5">
      <c r="C26" s="11"/>
      <c r="D26" s="11"/>
      <c r="E26" s="11"/>
      <c r="F26" s="43"/>
      <c r="G26" s="43"/>
      <c r="H26" s="43"/>
      <c r="I26" s="135"/>
    </row>
    <row r="27" spans="3:9" ht="10.5">
      <c r="C27" s="11"/>
      <c r="D27" s="11"/>
      <c r="E27" s="11"/>
      <c r="F27" s="43"/>
      <c r="G27" s="43"/>
      <c r="H27" s="43"/>
      <c r="I27" s="135"/>
    </row>
    <row r="28" spans="3:9" ht="10.5">
      <c r="C28" s="11"/>
      <c r="D28" s="11"/>
      <c r="E28" s="11"/>
      <c r="F28" s="43"/>
      <c r="G28" s="43"/>
      <c r="H28" s="43"/>
      <c r="I28" s="135"/>
    </row>
    <row r="29" spans="3:9" ht="10.5">
      <c r="C29" s="11"/>
      <c r="D29" s="11"/>
      <c r="E29" s="11"/>
      <c r="F29" s="43"/>
      <c r="G29" s="43"/>
      <c r="H29" s="43"/>
      <c r="I29" s="135"/>
    </row>
    <row r="30" spans="3:9" ht="10.5">
      <c r="C30" s="11"/>
      <c r="D30" s="11"/>
      <c r="E30" s="11"/>
      <c r="F30" s="11"/>
      <c r="G30" s="43"/>
      <c r="H30" s="43"/>
      <c r="I30" s="135"/>
    </row>
    <row r="31" spans="3:9" ht="10.5">
      <c r="C31" s="11"/>
      <c r="D31" s="11"/>
      <c r="E31" s="11"/>
      <c r="F31" s="2"/>
      <c r="G31" s="135"/>
      <c r="H31" s="43"/>
      <c r="I31" s="135"/>
    </row>
    <row r="32" spans="3:9" ht="10.5">
      <c r="C32" s="11"/>
      <c r="D32" s="11"/>
      <c r="E32" s="11"/>
      <c r="F32" s="2"/>
      <c r="G32" s="135"/>
      <c r="H32" s="43"/>
      <c r="I32" s="135"/>
    </row>
    <row r="33" spans="3:9" ht="10.5">
      <c r="C33" s="11"/>
      <c r="D33" s="11"/>
      <c r="E33" s="11"/>
      <c r="F33" s="2"/>
      <c r="G33" s="135"/>
      <c r="H33" s="43"/>
      <c r="I33" s="135"/>
    </row>
    <row r="34" spans="3:9" ht="10.5">
      <c r="C34" s="11"/>
      <c r="D34" s="11"/>
      <c r="E34" s="11"/>
      <c r="F34" s="11"/>
      <c r="G34" s="11"/>
      <c r="H34" s="43"/>
      <c r="I34" s="135"/>
    </row>
    <row r="35" spans="3:9" ht="10.5">
      <c r="C35" s="11"/>
      <c r="D35" s="11"/>
      <c r="E35" s="11"/>
      <c r="F35" s="11"/>
      <c r="G35" s="11"/>
      <c r="H35" s="43"/>
      <c r="I35" s="135"/>
    </row>
    <row r="36" spans="3:9" ht="10.5">
      <c r="C36" s="11"/>
      <c r="D36" s="11"/>
      <c r="E36" s="11"/>
      <c r="F36" s="11"/>
      <c r="G36" s="11"/>
      <c r="H36" s="43"/>
      <c r="I36" s="135"/>
    </row>
    <row r="37" spans="3:9" ht="10.5">
      <c r="C37" s="11"/>
      <c r="D37" s="11"/>
      <c r="E37" s="11"/>
      <c r="F37" s="11"/>
      <c r="G37" s="11"/>
      <c r="H37" s="43"/>
      <c r="I37" s="135"/>
    </row>
    <row r="38" spans="3:9" ht="10.5">
      <c r="C38" s="11"/>
      <c r="D38" s="11"/>
      <c r="E38" s="11"/>
      <c r="F38" s="11"/>
      <c r="G38" s="11"/>
      <c r="H38" s="43"/>
      <c r="I38" s="135"/>
    </row>
    <row r="39" spans="3:9" ht="10.5">
      <c r="C39" s="11"/>
      <c r="D39" s="11"/>
      <c r="E39" s="11"/>
      <c r="F39" s="11"/>
      <c r="G39" s="11"/>
      <c r="H39" s="43"/>
      <c r="I39" s="135"/>
    </row>
    <row r="40" spans="3:9" ht="10.5">
      <c r="C40" s="11"/>
      <c r="D40" s="11"/>
      <c r="E40" s="11"/>
      <c r="F40" s="11"/>
      <c r="G40" s="11"/>
      <c r="H40" s="43"/>
      <c r="I40" s="135"/>
    </row>
  </sheetData>
  <mergeCells count="10">
    <mergeCell ref="I16:I17"/>
    <mergeCell ref="A1:A2"/>
    <mergeCell ref="F16:F17"/>
    <mergeCell ref="G16:G17"/>
    <mergeCell ref="H16:H17"/>
    <mergeCell ref="B1:G1"/>
    <mergeCell ref="H1:H3"/>
    <mergeCell ref="I1:I3"/>
    <mergeCell ref="B2:D2"/>
    <mergeCell ref="E2:G2"/>
  </mergeCells>
  <printOptions/>
  <pageMargins left="0.75" right="0.75" top="1" bottom="1" header="0.5" footer="0.5"/>
  <pageSetup orientation="landscape" scale="80" r:id="rId1"/>
</worksheet>
</file>

<file path=xl/worksheets/sheet13.xml><?xml version="1.0" encoding="utf-8"?>
<worksheet xmlns="http://schemas.openxmlformats.org/spreadsheetml/2006/main" xmlns:r="http://schemas.openxmlformats.org/officeDocument/2006/relationships">
  <dimension ref="A1:X3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18" sqref="A18"/>
    </sheetView>
  </sheetViews>
  <sheetFormatPr defaultColWidth="9.140625" defaultRowHeight="12"/>
  <cols>
    <col min="1" max="1" width="20.7109375" style="0" bestFit="1" customWidth="1"/>
    <col min="2" max="4" width="12.8515625" style="0" customWidth="1"/>
    <col min="5" max="6" width="15.140625" style="6" customWidth="1"/>
    <col min="7" max="7" width="18.00390625" style="6" customWidth="1"/>
    <col min="8" max="9" width="12.7109375" style="6" customWidth="1"/>
    <col min="10" max="10" width="11.140625" style="6" customWidth="1"/>
    <col min="11" max="12" width="12.00390625" style="6" customWidth="1"/>
    <col min="13" max="13" width="14.00390625" style="6" customWidth="1"/>
    <col min="14" max="14" width="12.00390625" style="6" customWidth="1"/>
    <col min="15" max="15" width="13.7109375" style="6" customWidth="1"/>
    <col min="16" max="24" width="12.00390625" style="6" customWidth="1"/>
    <col min="25" max="16384" width="12.00390625" style="0" customWidth="1"/>
  </cols>
  <sheetData>
    <row r="1" spans="1:24" s="441" customFormat="1" ht="31.5" customHeight="1">
      <c r="A1" s="339" t="s">
        <v>111</v>
      </c>
      <c r="B1" s="577" t="s">
        <v>192</v>
      </c>
      <c r="C1" s="577"/>
      <c r="D1" s="578"/>
      <c r="E1" s="579" t="s">
        <v>26</v>
      </c>
      <c r="F1" s="579"/>
      <c r="G1" s="579"/>
      <c r="H1" s="580" t="s">
        <v>41</v>
      </c>
      <c r="I1" s="579" t="s">
        <v>14</v>
      </c>
      <c r="J1" s="579"/>
      <c r="K1" s="580" t="s">
        <v>17</v>
      </c>
      <c r="L1" s="580"/>
      <c r="M1" s="579" t="s">
        <v>20</v>
      </c>
      <c r="N1" s="579"/>
      <c r="O1" s="581"/>
      <c r="P1" s="442"/>
      <c r="Q1" s="442"/>
      <c r="R1" s="442"/>
      <c r="S1" s="442"/>
      <c r="T1" s="442"/>
      <c r="U1" s="442"/>
      <c r="V1" s="442"/>
      <c r="W1" s="442"/>
      <c r="X1" s="442"/>
    </row>
    <row r="2" spans="1:24" s="441" customFormat="1" ht="39" customHeight="1">
      <c r="A2" s="340"/>
      <c r="B2" s="582"/>
      <c r="C2" s="582"/>
      <c r="D2" s="459"/>
      <c r="E2" s="583"/>
      <c r="F2" s="583"/>
      <c r="G2" s="583"/>
      <c r="H2" s="171"/>
      <c r="I2" s="583"/>
      <c r="J2" s="583"/>
      <c r="K2" s="171"/>
      <c r="L2" s="171"/>
      <c r="M2" s="583"/>
      <c r="N2" s="583"/>
      <c r="O2" s="584"/>
      <c r="P2" s="585"/>
      <c r="Q2" s="585"/>
      <c r="R2" s="585"/>
      <c r="S2" s="585"/>
      <c r="T2" s="585"/>
      <c r="U2" s="585"/>
      <c r="V2" s="585"/>
      <c r="W2" s="442"/>
      <c r="X2" s="442"/>
    </row>
    <row r="3" spans="1:15" s="32" customFormat="1" ht="42">
      <c r="A3" s="587" t="s">
        <v>234</v>
      </c>
      <c r="B3" s="33" t="s">
        <v>25</v>
      </c>
      <c r="C3" s="33" t="s">
        <v>53</v>
      </c>
      <c r="D3" s="78" t="s">
        <v>200</v>
      </c>
      <c r="E3" s="35" t="s">
        <v>27</v>
      </c>
      <c r="F3" s="33" t="s">
        <v>30</v>
      </c>
      <c r="G3" s="35" t="s">
        <v>32</v>
      </c>
      <c r="H3" s="33" t="s">
        <v>15</v>
      </c>
      <c r="I3" s="35" t="s">
        <v>253</v>
      </c>
      <c r="J3" s="33" t="s">
        <v>16</v>
      </c>
      <c r="K3" s="35" t="s">
        <v>18</v>
      </c>
      <c r="L3" s="33" t="s">
        <v>19</v>
      </c>
      <c r="M3" s="35" t="s">
        <v>21</v>
      </c>
      <c r="N3" s="33" t="s">
        <v>80</v>
      </c>
      <c r="O3" s="77" t="s">
        <v>66</v>
      </c>
    </row>
    <row r="4" spans="1:24" s="447" customFormat="1" ht="10.5">
      <c r="A4" s="473">
        <f>Demography!A4</f>
        <v>1</v>
      </c>
      <c r="B4" s="566">
        <v>36486</v>
      </c>
      <c r="C4" s="567">
        <f>IF(B4="","",B4-'Visit 2'!B5)</f>
        <v>521</v>
      </c>
      <c r="D4" s="567">
        <f>IF(B4="","",B4-'Visit 5'!B5)</f>
        <v>479</v>
      </c>
      <c r="E4" s="568" t="s">
        <v>28</v>
      </c>
      <c r="F4" s="350" t="s">
        <v>31</v>
      </c>
      <c r="G4" s="569">
        <v>9</v>
      </c>
      <c r="H4" s="570" t="s">
        <v>28</v>
      </c>
      <c r="I4" s="387" t="s">
        <v>29</v>
      </c>
      <c r="J4" s="569">
        <v>5</v>
      </c>
      <c r="K4" s="387" t="s">
        <v>28</v>
      </c>
      <c r="L4" s="571">
        <v>0</v>
      </c>
      <c r="M4" s="387" t="s">
        <v>31</v>
      </c>
      <c r="N4" s="566" t="s">
        <v>31</v>
      </c>
      <c r="O4" s="351" t="s">
        <v>31</v>
      </c>
      <c r="P4" s="448"/>
      <c r="Q4" s="448"/>
      <c r="R4" s="448"/>
      <c r="S4" s="448"/>
      <c r="T4" s="448"/>
      <c r="U4" s="448"/>
      <c r="V4" s="448"/>
      <c r="W4" s="448"/>
      <c r="X4" s="448"/>
    </row>
    <row r="5" spans="1:24" s="447" customFormat="1" ht="10.5">
      <c r="A5" s="473">
        <f>Demography!A5</f>
        <v>2</v>
      </c>
      <c r="B5" s="566">
        <v>36476</v>
      </c>
      <c r="C5" s="567">
        <f>IF(B5="","",B5-'Visit 2'!B6)</f>
        <v>407</v>
      </c>
      <c r="D5" s="567">
        <f>IF(B5="","",B5-'Visit 5'!B6)</f>
        <v>365</v>
      </c>
      <c r="E5" s="568" t="s">
        <v>28</v>
      </c>
      <c r="F5" s="350" t="s">
        <v>31</v>
      </c>
      <c r="G5" s="569">
        <v>11</v>
      </c>
      <c r="H5" s="570" t="s">
        <v>29</v>
      </c>
      <c r="I5" s="387" t="s">
        <v>29</v>
      </c>
      <c r="J5" s="569">
        <v>10</v>
      </c>
      <c r="K5" s="387" t="s">
        <v>28</v>
      </c>
      <c r="L5" s="571">
        <v>100</v>
      </c>
      <c r="M5" s="387" t="s">
        <v>31</v>
      </c>
      <c r="N5" s="566" t="s">
        <v>31</v>
      </c>
      <c r="O5" s="572" t="s">
        <v>31</v>
      </c>
      <c r="P5" s="448"/>
      <c r="Q5" s="448"/>
      <c r="R5" s="448"/>
      <c r="S5" s="448"/>
      <c r="T5" s="448"/>
      <c r="U5" s="448"/>
      <c r="V5" s="448"/>
      <c r="W5" s="448"/>
      <c r="X5" s="448"/>
    </row>
    <row r="6" spans="1:24" s="447" customFormat="1" ht="10.5">
      <c r="A6" s="473">
        <f>Demography!A6</f>
        <v>3</v>
      </c>
      <c r="B6" s="566">
        <v>36477</v>
      </c>
      <c r="C6" s="567">
        <f>IF(B6="","",B6-'Visit 2'!B7)</f>
        <v>393</v>
      </c>
      <c r="D6" s="567">
        <f>IF(B6="","",B6-'Visit 5'!B7)</f>
        <v>330</v>
      </c>
      <c r="E6" s="573" t="s">
        <v>29</v>
      </c>
      <c r="F6" s="353">
        <v>2</v>
      </c>
      <c r="G6" s="569" t="s">
        <v>31</v>
      </c>
      <c r="H6" s="570" t="s">
        <v>29</v>
      </c>
      <c r="I6" s="387" t="s">
        <v>29</v>
      </c>
      <c r="J6" s="569">
        <v>1</v>
      </c>
      <c r="K6" s="387" t="s">
        <v>28</v>
      </c>
      <c r="L6" s="571">
        <v>350</v>
      </c>
      <c r="M6" s="387" t="s">
        <v>29</v>
      </c>
      <c r="N6" s="566">
        <v>36496</v>
      </c>
      <c r="O6" s="351" t="s">
        <v>67</v>
      </c>
      <c r="P6" s="448"/>
      <c r="Q6" s="448"/>
      <c r="R6" s="448"/>
      <c r="S6" s="448"/>
      <c r="T6" s="448"/>
      <c r="U6" s="448"/>
      <c r="V6" s="448"/>
      <c r="W6" s="448"/>
      <c r="X6" s="448"/>
    </row>
    <row r="7" spans="1:24" s="447" customFormat="1" ht="10.5">
      <c r="A7" s="473">
        <f>Demography!A7</f>
        <v>4</v>
      </c>
      <c r="B7" s="566">
        <v>36477</v>
      </c>
      <c r="C7" s="567">
        <f>IF(B7="","",B7-'Visit 2'!B8)</f>
        <v>381</v>
      </c>
      <c r="D7" s="567">
        <f>IF(B7="","",B7-'Visit 5'!B8)</f>
        <v>329</v>
      </c>
      <c r="E7" s="573" t="s">
        <v>28</v>
      </c>
      <c r="F7" s="353" t="s">
        <v>31</v>
      </c>
      <c r="G7" s="569">
        <v>8</v>
      </c>
      <c r="H7" s="570" t="s">
        <v>28</v>
      </c>
      <c r="I7" s="387" t="s">
        <v>29</v>
      </c>
      <c r="J7" s="569">
        <v>5</v>
      </c>
      <c r="K7" s="387" t="s">
        <v>28</v>
      </c>
      <c r="L7" s="571">
        <v>0</v>
      </c>
      <c r="M7" s="387" t="s">
        <v>31</v>
      </c>
      <c r="N7" s="566" t="s">
        <v>31</v>
      </c>
      <c r="O7" s="572" t="s">
        <v>31</v>
      </c>
      <c r="P7" s="448"/>
      <c r="Q7" s="448"/>
      <c r="R7" s="448"/>
      <c r="S7" s="448"/>
      <c r="T7" s="448"/>
      <c r="U7" s="448"/>
      <c r="V7" s="448"/>
      <c r="W7" s="448"/>
      <c r="X7" s="448"/>
    </row>
    <row r="8" spans="1:24" s="447" customFormat="1" ht="10.5">
      <c r="A8" s="473">
        <f>Demography!A8</f>
        <v>5</v>
      </c>
      <c r="B8" s="566">
        <v>36476</v>
      </c>
      <c r="C8" s="567">
        <f>IF(B8="","",B8-'Visit 2'!B9)</f>
        <v>307</v>
      </c>
      <c r="D8" s="567">
        <f>IF(B8="","",B8-'Visit 5'!B9)</f>
        <v>246</v>
      </c>
      <c r="E8" s="573" t="s">
        <v>28</v>
      </c>
      <c r="F8" s="353" t="s">
        <v>31</v>
      </c>
      <c r="G8" s="569">
        <v>2</v>
      </c>
      <c r="H8" s="570" t="s">
        <v>28</v>
      </c>
      <c r="I8" s="387" t="s">
        <v>29</v>
      </c>
      <c r="J8" s="569">
        <v>2</v>
      </c>
      <c r="K8" s="387" t="s">
        <v>28</v>
      </c>
      <c r="L8" s="571">
        <v>100</v>
      </c>
      <c r="M8" s="387" t="s">
        <v>31</v>
      </c>
      <c r="N8" s="566" t="s">
        <v>31</v>
      </c>
      <c r="O8" s="572" t="s">
        <v>31</v>
      </c>
      <c r="P8" s="448"/>
      <c r="Q8" s="448"/>
      <c r="R8" s="448"/>
      <c r="S8" s="448"/>
      <c r="T8" s="448"/>
      <c r="U8" s="448"/>
      <c r="V8" s="448"/>
      <c r="W8" s="448"/>
      <c r="X8" s="448"/>
    </row>
    <row r="9" spans="1:24" s="447" customFormat="1" ht="10.5">
      <c r="A9" s="473">
        <f>Demography!A9</f>
        <v>6</v>
      </c>
      <c r="B9" s="566">
        <v>37143</v>
      </c>
      <c r="C9" s="567">
        <f>IF(B9="","",B9-'Visit 2'!B10)</f>
        <v>787</v>
      </c>
      <c r="D9" s="567">
        <f>IF(B9="","",B9-'Visit 5'!B10)</f>
        <v>304</v>
      </c>
      <c r="E9" s="573" t="s">
        <v>29</v>
      </c>
      <c r="F9" s="353">
        <v>25</v>
      </c>
      <c r="G9" s="569"/>
      <c r="H9" s="570" t="s">
        <v>29</v>
      </c>
      <c r="I9" s="387" t="s">
        <v>29</v>
      </c>
      <c r="J9" s="569">
        <v>21</v>
      </c>
      <c r="K9" s="387" t="s">
        <v>29</v>
      </c>
      <c r="L9" s="569"/>
      <c r="M9" s="387" t="s">
        <v>29</v>
      </c>
      <c r="N9" s="566" t="s">
        <v>109</v>
      </c>
      <c r="O9" s="572" t="s">
        <v>109</v>
      </c>
      <c r="P9" s="448"/>
      <c r="Q9" s="448"/>
      <c r="R9" s="448"/>
      <c r="S9" s="448"/>
      <c r="T9" s="448"/>
      <c r="U9" s="448"/>
      <c r="V9" s="448"/>
      <c r="W9" s="448"/>
      <c r="X9" s="448"/>
    </row>
    <row r="10" spans="1:24" s="447" customFormat="1" ht="10.5">
      <c r="A10" s="348">
        <f>Demography!A10</f>
        <v>7</v>
      </c>
      <c r="B10" s="566"/>
      <c r="C10" s="567"/>
      <c r="D10" s="567"/>
      <c r="E10" s="573"/>
      <c r="F10" s="353"/>
      <c r="G10" s="569"/>
      <c r="H10" s="570"/>
      <c r="I10" s="387"/>
      <c r="J10" s="569"/>
      <c r="K10" s="387"/>
      <c r="L10" s="571"/>
      <c r="M10" s="387"/>
      <c r="N10" s="350"/>
      <c r="O10" s="351"/>
      <c r="P10" s="448"/>
      <c r="Q10" s="448"/>
      <c r="R10" s="448"/>
      <c r="S10" s="448"/>
      <c r="T10" s="448"/>
      <c r="U10" s="448"/>
      <c r="V10" s="448"/>
      <c r="W10" s="448"/>
      <c r="X10" s="448"/>
    </row>
    <row r="11" spans="1:24" s="447" customFormat="1" ht="10.5">
      <c r="A11" s="473">
        <f>Demography!A11</f>
        <v>8</v>
      </c>
      <c r="B11" s="566">
        <v>37119</v>
      </c>
      <c r="C11" s="567">
        <f>IF(B11="","",B11-'Visit 2'!B12)</f>
        <v>688</v>
      </c>
      <c r="D11" s="567">
        <f>IF(B11="","",B11-'Visit 5'!B12)</f>
        <v>546</v>
      </c>
      <c r="E11" s="573" t="s">
        <v>29</v>
      </c>
      <c r="F11" s="353">
        <v>21</v>
      </c>
      <c r="G11" s="574"/>
      <c r="H11" s="570" t="s">
        <v>29</v>
      </c>
      <c r="I11" s="387" t="s">
        <v>28</v>
      </c>
      <c r="J11" s="569"/>
      <c r="K11" s="387" t="s">
        <v>29</v>
      </c>
      <c r="L11" s="569"/>
      <c r="M11" s="387" t="s">
        <v>31</v>
      </c>
      <c r="N11" s="350" t="s">
        <v>31</v>
      </c>
      <c r="O11" s="351" t="s">
        <v>31</v>
      </c>
      <c r="P11" s="448"/>
      <c r="Q11" s="448"/>
      <c r="R11" s="448"/>
      <c r="S11" s="448"/>
      <c r="T11" s="448"/>
      <c r="U11" s="448"/>
      <c r="V11" s="448"/>
      <c r="W11" s="448"/>
      <c r="X11" s="448"/>
    </row>
    <row r="12" spans="1:24" s="447" customFormat="1" ht="10.5">
      <c r="A12" s="473">
        <f>Demography!A12</f>
        <v>9</v>
      </c>
      <c r="B12" s="566">
        <v>36802</v>
      </c>
      <c r="C12" s="567">
        <f>IF(B12="","",B12-'Visit 2'!B13)</f>
        <v>375</v>
      </c>
      <c r="D12" s="567">
        <f>IF(B12="","",B12-'Visit 5'!B13)</f>
        <v>333</v>
      </c>
      <c r="E12" s="573" t="s">
        <v>28</v>
      </c>
      <c r="F12" s="353" t="s">
        <v>31</v>
      </c>
      <c r="G12" s="569">
        <v>9</v>
      </c>
      <c r="H12" s="570" t="s">
        <v>29</v>
      </c>
      <c r="I12" s="387" t="s">
        <v>29</v>
      </c>
      <c r="J12" s="569">
        <v>8</v>
      </c>
      <c r="K12" s="387" t="s">
        <v>28</v>
      </c>
      <c r="L12" s="571">
        <v>0</v>
      </c>
      <c r="M12" s="387" t="s">
        <v>31</v>
      </c>
      <c r="N12" s="350" t="s">
        <v>31</v>
      </c>
      <c r="O12" s="351" t="s">
        <v>31</v>
      </c>
      <c r="P12" s="448"/>
      <c r="Q12" s="448"/>
      <c r="R12" s="448"/>
      <c r="S12" s="448"/>
      <c r="T12" s="448"/>
      <c r="U12" s="448"/>
      <c r="V12" s="448"/>
      <c r="W12" s="448"/>
      <c r="X12" s="448"/>
    </row>
    <row r="13" spans="1:24" s="447" customFormat="1" ht="10.5">
      <c r="A13" s="348">
        <f>Demography!A13</f>
        <v>10</v>
      </c>
      <c r="B13" s="566"/>
      <c r="C13" s="567">
        <f>IF(B13="","",B13-'Visit 2'!B14)</f>
      </c>
      <c r="D13" s="567">
        <f>IF(B13="","",B13-'Visit 5'!B14)</f>
      </c>
      <c r="E13" s="568"/>
      <c r="F13" s="350"/>
      <c r="G13" s="569"/>
      <c r="H13" s="570"/>
      <c r="I13" s="387"/>
      <c r="J13" s="569"/>
      <c r="K13" s="387"/>
      <c r="L13" s="569"/>
      <c r="M13" s="387"/>
      <c r="N13" s="566"/>
      <c r="O13" s="351"/>
      <c r="P13" s="448"/>
      <c r="Q13" s="448"/>
      <c r="R13" s="448"/>
      <c r="S13" s="448"/>
      <c r="T13" s="448"/>
      <c r="U13" s="448"/>
      <c r="V13" s="448"/>
      <c r="W13" s="448"/>
      <c r="X13" s="448"/>
    </row>
    <row r="14" spans="1:24" s="447" customFormat="1" ht="10.5">
      <c r="A14" s="473">
        <f>Demography!A14</f>
        <v>11</v>
      </c>
      <c r="B14" s="566">
        <v>37478</v>
      </c>
      <c r="C14" s="567">
        <f>IF(B14="","",B14-'Visit 2'!B15)</f>
        <v>417</v>
      </c>
      <c r="D14" s="567">
        <f>IF(B14="","",B14-'Visit 5'!B15)</f>
        <v>365</v>
      </c>
      <c r="E14" s="568" t="s">
        <v>28</v>
      </c>
      <c r="F14" s="350">
        <v>14</v>
      </c>
      <c r="G14" s="569"/>
      <c r="H14" s="570" t="s">
        <v>29</v>
      </c>
      <c r="I14" s="387" t="s">
        <v>29</v>
      </c>
      <c r="J14" s="569">
        <v>5</v>
      </c>
      <c r="K14" s="387" t="s">
        <v>28</v>
      </c>
      <c r="L14" s="569" t="s">
        <v>108</v>
      </c>
      <c r="M14" s="387" t="s">
        <v>29</v>
      </c>
      <c r="N14" s="566" t="s">
        <v>109</v>
      </c>
      <c r="O14" s="572" t="s">
        <v>109</v>
      </c>
      <c r="P14" s="448"/>
      <c r="Q14" s="448"/>
      <c r="R14" s="448"/>
      <c r="S14" s="448"/>
      <c r="T14" s="448"/>
      <c r="U14" s="448"/>
      <c r="V14" s="448"/>
      <c r="W14" s="448"/>
      <c r="X14" s="448"/>
    </row>
    <row r="15" spans="1:24" s="447" customFormat="1" ht="11.25" thickBot="1">
      <c r="A15" s="355">
        <f>Demography!A15</f>
        <v>12</v>
      </c>
      <c r="B15" s="362"/>
      <c r="C15" s="362"/>
      <c r="D15" s="362"/>
      <c r="E15" s="403"/>
      <c r="F15" s="362"/>
      <c r="G15" s="575"/>
      <c r="H15" s="576"/>
      <c r="I15" s="403"/>
      <c r="J15" s="575"/>
      <c r="K15" s="403"/>
      <c r="L15" s="575"/>
      <c r="M15" s="403"/>
      <c r="N15" s="362"/>
      <c r="O15" s="364"/>
      <c r="P15" s="448"/>
      <c r="Q15" s="448"/>
      <c r="R15" s="448"/>
      <c r="S15" s="448"/>
      <c r="T15" s="448"/>
      <c r="U15" s="448"/>
      <c r="V15" s="448"/>
      <c r="W15" s="448"/>
      <c r="X15" s="448"/>
    </row>
    <row r="16" spans="1:24" s="16" customFormat="1" ht="15" customHeight="1" thickBot="1">
      <c r="A16" s="586" t="str">
        <f>'Visit 5'!A17</f>
        <v>Subjects who completed study and continued to wear Trifield glasses: 1-6, 8-9, and S11</v>
      </c>
      <c r="B16" s="586"/>
      <c r="C16" s="586"/>
      <c r="D16" s="586"/>
      <c r="E16" s="586"/>
      <c r="F16" s="48"/>
      <c r="G16" s="48"/>
      <c r="H16" s="48"/>
      <c r="I16" s="48"/>
      <c r="J16" s="48"/>
      <c r="K16" s="48"/>
      <c r="L16" s="48"/>
      <c r="M16" s="48"/>
      <c r="N16" s="48"/>
      <c r="O16" s="48"/>
      <c r="P16" s="28"/>
      <c r="Q16" s="28"/>
      <c r="R16" s="28"/>
      <c r="S16" s="28"/>
      <c r="T16" s="28"/>
      <c r="U16" s="28"/>
      <c r="V16" s="28"/>
      <c r="W16" s="28"/>
      <c r="X16" s="28"/>
    </row>
    <row r="17" spans="1:24" s="16" customFormat="1" ht="11.25" thickBot="1">
      <c r="A17" s="11"/>
      <c r="B17" s="227" t="s">
        <v>192</v>
      </c>
      <c r="C17" s="228"/>
      <c r="D17" s="337"/>
      <c r="E17" s="28"/>
      <c r="F17" s="28"/>
      <c r="G17" s="28"/>
      <c r="H17" s="28"/>
      <c r="I17" s="28"/>
      <c r="J17" s="28"/>
      <c r="K17" s="28"/>
      <c r="L17" s="28"/>
      <c r="M17" s="28"/>
      <c r="N17" s="28"/>
      <c r="O17" s="28"/>
      <c r="P17" s="28"/>
      <c r="Q17" s="28"/>
      <c r="R17" s="28"/>
      <c r="S17" s="28"/>
      <c r="T17" s="28"/>
      <c r="U17" s="28"/>
      <c r="V17" s="28"/>
      <c r="W17" s="28"/>
      <c r="X17" s="28"/>
    </row>
    <row r="18" spans="2:7" ht="41.25" customHeight="1">
      <c r="B18" s="64"/>
      <c r="C18" s="119" t="s">
        <v>53</v>
      </c>
      <c r="D18" s="119" t="s">
        <v>200</v>
      </c>
      <c r="E18" s="338" t="s">
        <v>206</v>
      </c>
      <c r="F18" s="326"/>
      <c r="G18" s="24"/>
    </row>
    <row r="19" spans="2:7" ht="10.5">
      <c r="B19" s="36"/>
      <c r="C19" s="121" t="s">
        <v>89</v>
      </c>
      <c r="D19" s="125" t="s">
        <v>89</v>
      </c>
      <c r="E19" s="594" t="s">
        <v>29</v>
      </c>
      <c r="F19" s="351">
        <f>COUNTIF(E4:E14,"Yes")</f>
        <v>3</v>
      </c>
      <c r="G19" s="37"/>
    </row>
    <row r="20" spans="1:7" ht="10.5">
      <c r="A20" s="2"/>
      <c r="B20" s="359" t="s">
        <v>175</v>
      </c>
      <c r="C20" s="588">
        <f>AVERAGE(C4:C14)</f>
        <v>475.1111111111111</v>
      </c>
      <c r="D20" s="352">
        <f>AVERAGE(D4:D14)</f>
        <v>366.3333333333333</v>
      </c>
      <c r="E20" s="595" t="s">
        <v>28</v>
      </c>
      <c r="F20" s="354">
        <f>COUNTIF(E4:E14,"No")</f>
        <v>6</v>
      </c>
      <c r="G20" s="25"/>
    </row>
    <row r="21" spans="2:7" ht="11.25" customHeight="1">
      <c r="B21" s="359" t="s">
        <v>174</v>
      </c>
      <c r="C21" s="589">
        <f>STDEV(C4:C14)</f>
        <v>160.70193250583867</v>
      </c>
      <c r="D21" s="349">
        <f>STDEV(D4:D14)</f>
        <v>91.62968951164245</v>
      </c>
      <c r="E21" s="359" t="s">
        <v>138</v>
      </c>
      <c r="F21" s="354">
        <f>12-COUNTIF(E4:E15,"")</f>
        <v>9</v>
      </c>
      <c r="G21" s="24"/>
    </row>
    <row r="22" spans="1:7" ht="10.5">
      <c r="A22" s="136"/>
      <c r="B22" s="359" t="s">
        <v>120</v>
      </c>
      <c r="C22" s="589">
        <f>MEDIAN(C4:C14)</f>
        <v>407</v>
      </c>
      <c r="D22" s="349">
        <f>MEDIAN(D4:D14)</f>
        <v>333</v>
      </c>
      <c r="E22" s="235" t="s">
        <v>207</v>
      </c>
      <c r="F22" s="237"/>
      <c r="G22" s="24"/>
    </row>
    <row r="23" spans="1:6" ht="10.5">
      <c r="A23" s="136"/>
      <c r="B23" s="359" t="s">
        <v>118</v>
      </c>
      <c r="C23" s="589">
        <f>MIN(C4:C14)</f>
        <v>307</v>
      </c>
      <c r="D23" s="349">
        <f>MIN(D4:D14)</f>
        <v>246</v>
      </c>
      <c r="E23" s="235"/>
      <c r="F23" s="237"/>
    </row>
    <row r="24" spans="1:6" ht="11.25" thickBot="1">
      <c r="A24" s="136"/>
      <c r="B24" s="359" t="s">
        <v>119</v>
      </c>
      <c r="C24" s="589">
        <f>MAX(C4:C14)</f>
        <v>787</v>
      </c>
      <c r="D24" s="349">
        <f>MAX(D4:D14)</f>
        <v>546</v>
      </c>
      <c r="E24" s="596">
        <f>F19/'Visit 5'!K21</f>
        <v>0.25</v>
      </c>
      <c r="F24" s="597"/>
    </row>
    <row r="25" spans="2:4" ht="10.5">
      <c r="B25" s="365"/>
      <c r="C25" s="570"/>
      <c r="D25" s="590"/>
    </row>
    <row r="26" spans="2:4" ht="10.5">
      <c r="B26" s="62"/>
      <c r="C26" s="122" t="s">
        <v>3</v>
      </c>
      <c r="D26" s="120" t="s">
        <v>3</v>
      </c>
    </row>
    <row r="27" spans="2:6" ht="10.5">
      <c r="B27" s="359" t="s">
        <v>175</v>
      </c>
      <c r="C27" s="589">
        <f aca="true" t="shared" si="0" ref="C27:D31">C20/7</f>
        <v>67.87301587301587</v>
      </c>
      <c r="D27" s="591">
        <f t="shared" si="0"/>
        <v>52.33333333333333</v>
      </c>
      <c r="E27" s="11"/>
      <c r="F27" s="11"/>
    </row>
    <row r="28" spans="2:4" ht="11.25" thickBot="1">
      <c r="B28" s="359" t="s">
        <v>174</v>
      </c>
      <c r="C28" s="589">
        <f t="shared" si="0"/>
        <v>22.957418929405524</v>
      </c>
      <c r="D28" s="591">
        <f t="shared" si="0"/>
        <v>13.08995564452035</v>
      </c>
    </row>
    <row r="29" spans="2:4" ht="10.5">
      <c r="B29" s="359" t="s">
        <v>120</v>
      </c>
      <c r="C29" s="349">
        <f t="shared" si="0"/>
        <v>58.142857142857146</v>
      </c>
      <c r="D29" s="592">
        <f t="shared" si="0"/>
        <v>47.57142857142857</v>
      </c>
    </row>
    <row r="30" spans="2:4" ht="10.5">
      <c r="B30" s="359" t="s">
        <v>118</v>
      </c>
      <c r="C30" s="349">
        <f t="shared" si="0"/>
        <v>43.857142857142854</v>
      </c>
      <c r="D30" s="560">
        <f t="shared" si="0"/>
        <v>35.142857142857146</v>
      </c>
    </row>
    <row r="31" spans="2:4" ht="11.25" thickBot="1">
      <c r="B31" s="361" t="s">
        <v>119</v>
      </c>
      <c r="C31" s="520">
        <f t="shared" si="0"/>
        <v>112.42857142857143</v>
      </c>
      <c r="D31" s="593">
        <f t="shared" si="0"/>
        <v>78</v>
      </c>
    </row>
    <row r="32" spans="3:4" ht="10.5">
      <c r="C32" s="12"/>
      <c r="D32" s="12"/>
    </row>
    <row r="33" ht="11.25" customHeight="1"/>
    <row r="34" spans="3:4" ht="10.5">
      <c r="C34" s="15"/>
      <c r="D34" s="15"/>
    </row>
    <row r="35" spans="3:4" ht="10.5">
      <c r="C35" s="12"/>
      <c r="D35" s="12"/>
    </row>
    <row r="36" spans="3:4" ht="10.5">
      <c r="C36" s="12"/>
      <c r="D36" s="12"/>
    </row>
    <row r="37" spans="3:4" ht="10.5">
      <c r="C37" s="10"/>
      <c r="D37" s="12"/>
    </row>
    <row r="38" spans="3:4" ht="10.5">
      <c r="C38" s="10"/>
      <c r="D38" s="12"/>
    </row>
    <row r="39" spans="3:4" ht="10.5">
      <c r="C39" s="10"/>
      <c r="D39" s="12"/>
    </row>
  </sheetData>
  <mergeCells count="12">
    <mergeCell ref="E24:F24"/>
    <mergeCell ref="M1:O2"/>
    <mergeCell ref="B17:D17"/>
    <mergeCell ref="E18:F18"/>
    <mergeCell ref="B1:D2"/>
    <mergeCell ref="E1:G2"/>
    <mergeCell ref="H1:H2"/>
    <mergeCell ref="I1:J2"/>
    <mergeCell ref="K1:L2"/>
    <mergeCell ref="A16:E16"/>
    <mergeCell ref="E22:F23"/>
    <mergeCell ref="A1:A2"/>
  </mergeCells>
  <printOptions/>
  <pageMargins left="0.75" right="0.75" top="1" bottom="1" header="0.5" footer="0.5"/>
  <pageSetup orientation="portrait" r:id="rId1"/>
</worksheet>
</file>

<file path=xl/worksheets/sheet14.xml><?xml version="1.0" encoding="utf-8"?>
<worksheet xmlns="http://schemas.openxmlformats.org/spreadsheetml/2006/main" xmlns:r="http://schemas.openxmlformats.org/officeDocument/2006/relationships">
  <dimension ref="A1:O28"/>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22" sqref="E22"/>
    </sheetView>
  </sheetViews>
  <sheetFormatPr defaultColWidth="9.140625" defaultRowHeight="12"/>
  <cols>
    <col min="1" max="1" width="19.8515625" style="0" customWidth="1"/>
    <col min="2" max="2" width="8.00390625" style="0" customWidth="1"/>
    <col min="3" max="3" width="10.7109375" style="0" customWidth="1"/>
    <col min="4" max="4" width="12.00390625" style="0" customWidth="1"/>
    <col min="5" max="6" width="8.8515625" style="0" customWidth="1"/>
    <col min="7" max="7" width="11.7109375" style="0" customWidth="1"/>
    <col min="8" max="8" width="9.00390625" style="0" customWidth="1"/>
    <col min="9" max="9" width="10.00390625" style="0" customWidth="1"/>
    <col min="10" max="10" width="12.00390625" style="0" customWidth="1"/>
    <col min="11" max="11" width="22.00390625" style="0" customWidth="1"/>
    <col min="12" max="12" width="11.7109375" style="0" customWidth="1"/>
    <col min="13" max="13" width="12.421875" style="0" customWidth="1"/>
    <col min="14" max="16384" width="12.00390625" style="0" customWidth="1"/>
  </cols>
  <sheetData>
    <row r="1" spans="1:13" ht="30.75" customHeight="1">
      <c r="A1" s="491" t="s">
        <v>111</v>
      </c>
      <c r="B1" s="341" t="s">
        <v>139</v>
      </c>
      <c r="C1" s="341"/>
      <c r="D1" s="341"/>
      <c r="E1" s="341"/>
      <c r="F1" s="341"/>
      <c r="G1" s="341"/>
      <c r="H1" s="341"/>
      <c r="I1" s="341"/>
      <c r="J1" s="341"/>
      <c r="K1" s="341"/>
      <c r="L1" s="341"/>
      <c r="M1" s="342"/>
    </row>
    <row r="2" spans="1:13" ht="33.75" customHeight="1">
      <c r="A2" s="491"/>
      <c r="B2" s="253" t="s">
        <v>47</v>
      </c>
      <c r="C2" s="253"/>
      <c r="D2" s="312"/>
      <c r="E2" s="246" t="s">
        <v>65</v>
      </c>
      <c r="F2" s="246"/>
      <c r="G2" s="234"/>
      <c r="H2" s="253" t="s">
        <v>64</v>
      </c>
      <c r="I2" s="253"/>
      <c r="J2" s="347"/>
      <c r="K2" s="343" t="s">
        <v>9</v>
      </c>
      <c r="L2" s="343"/>
      <c r="M2" s="344"/>
    </row>
    <row r="3" spans="1:15" ht="54" customHeight="1">
      <c r="A3" s="612" t="s">
        <v>234</v>
      </c>
      <c r="B3" s="41" t="s">
        <v>53</v>
      </c>
      <c r="C3" s="40" t="s">
        <v>54</v>
      </c>
      <c r="D3" s="76" t="s">
        <v>144</v>
      </c>
      <c r="E3" s="41" t="s">
        <v>56</v>
      </c>
      <c r="F3" s="40" t="s">
        <v>57</v>
      </c>
      <c r="G3" s="35" t="s">
        <v>145</v>
      </c>
      <c r="H3" s="41" t="s">
        <v>58</v>
      </c>
      <c r="I3" s="40" t="s">
        <v>59</v>
      </c>
      <c r="J3" s="35" t="s">
        <v>146</v>
      </c>
      <c r="K3" s="39" t="s">
        <v>1</v>
      </c>
      <c r="L3" s="39" t="s">
        <v>33</v>
      </c>
      <c r="M3" s="75" t="s">
        <v>34</v>
      </c>
      <c r="N3" s="2"/>
      <c r="O3" s="2"/>
    </row>
    <row r="4" spans="1:15" s="447" customFormat="1" ht="10.5">
      <c r="A4" s="473">
        <f>Demography!A4</f>
        <v>1</v>
      </c>
      <c r="B4" s="353">
        <f>IF('Visit 3'!D5="","",'Visit 3'!D5)</f>
        <v>13</v>
      </c>
      <c r="C4" s="353">
        <f>IF('Visit 3'!E5="","",'Visit 3'!E5)</f>
        <v>9</v>
      </c>
      <c r="D4" s="392">
        <f>IF(C4="","",C4/B4)</f>
        <v>0.6923076923076923</v>
      </c>
      <c r="E4" s="598">
        <f>IF('Visit 4'!E5="","",'Visit 4'!E5)</f>
        <v>14</v>
      </c>
      <c r="F4" s="381">
        <f>E4*G4</f>
        <v>8.579487179487181</v>
      </c>
      <c r="G4" s="599">
        <f>AVERAGE(D4,J4)</f>
        <v>0.6128205128205129</v>
      </c>
      <c r="H4" s="598">
        <f>IF('Visit 5'!E5="","",'Visit 5'!E5)</f>
        <v>15</v>
      </c>
      <c r="I4" s="353">
        <f>IF('Visit 5'!F5="","",'Visit 5'!F5)</f>
        <v>8</v>
      </c>
      <c r="J4" s="599">
        <f>IF(I4="","",I4/H4)</f>
        <v>0.5333333333333333</v>
      </c>
      <c r="K4" s="513">
        <f>(D4*B4)+(G4*E4)+(J4*H4)</f>
        <v>25.57948717948718</v>
      </c>
      <c r="L4" s="353">
        <f aca="true" t="shared" si="0" ref="L4:L15">B4+E4+H4</f>
        <v>42</v>
      </c>
      <c r="M4" s="453">
        <f>(K4/L4)</f>
        <v>0.6090354090354091</v>
      </c>
      <c r="N4" s="600"/>
      <c r="O4" s="601"/>
    </row>
    <row r="5" spans="1:15" s="447" customFormat="1" ht="10.5">
      <c r="A5" s="473">
        <f>Demography!A5</f>
        <v>2</v>
      </c>
      <c r="B5" s="353">
        <f>IF('Visit 3'!D6="","",'Visit 3'!D6)</f>
        <v>7</v>
      </c>
      <c r="C5" s="353">
        <f>IF('Visit 3'!E6="","",'Visit 3'!E6)</f>
        <v>8</v>
      </c>
      <c r="D5" s="392">
        <f aca="true" t="shared" si="1" ref="D5:D14">IF(C5="","",C5/B5)</f>
        <v>1.1428571428571428</v>
      </c>
      <c r="E5" s="598">
        <f>IF('Visit 4'!E6="","",'Visit 4'!E6)</f>
        <v>7</v>
      </c>
      <c r="F5" s="353">
        <f>IF('Visit 4'!F6="","",'Visit 4'!F6)</f>
        <v>4</v>
      </c>
      <c r="G5" s="599">
        <f aca="true" t="shared" si="2" ref="G5:G14">IF(F5="","",F5/E5)</f>
        <v>0.5714285714285714</v>
      </c>
      <c r="H5" s="598">
        <f>IF('Visit 5'!E6="","",'Visit 5'!E6)</f>
        <v>28</v>
      </c>
      <c r="I5" s="353">
        <f>IF('Visit 5'!F6="","",'Visit 5'!F6)</f>
        <v>12</v>
      </c>
      <c r="J5" s="599">
        <f aca="true" t="shared" si="3" ref="J5:J14">IF(I5="","",I5/H5)</f>
        <v>0.42857142857142855</v>
      </c>
      <c r="K5" s="513">
        <f>(D5*B5)+(G5*E5)+(J5*H5)</f>
        <v>24</v>
      </c>
      <c r="L5" s="353">
        <f t="shared" si="0"/>
        <v>42</v>
      </c>
      <c r="M5" s="453">
        <f aca="true" t="shared" si="4" ref="M5:M15">(K5/L5)</f>
        <v>0.5714285714285714</v>
      </c>
      <c r="N5" s="353"/>
      <c r="O5" s="601"/>
    </row>
    <row r="6" spans="1:15" s="447" customFormat="1" ht="10.5">
      <c r="A6" s="473">
        <f>Demography!A6</f>
        <v>3</v>
      </c>
      <c r="B6" s="353">
        <f>IF('Visit 3'!D7="","",'Visit 3'!D7)</f>
        <v>7</v>
      </c>
      <c r="C6" s="353">
        <f>IF('Visit 3'!E7="","",'Visit 3'!E7)</f>
        <v>9</v>
      </c>
      <c r="D6" s="392">
        <f t="shared" si="1"/>
        <v>1.2857142857142858</v>
      </c>
      <c r="E6" s="598">
        <f>IF('Visit 4'!E7="","",'Visit 4'!E7)</f>
        <v>6</v>
      </c>
      <c r="F6" s="353">
        <f>IF('Visit 4'!F7="","",'Visit 4'!F7)</f>
        <v>11</v>
      </c>
      <c r="G6" s="599">
        <f t="shared" si="2"/>
        <v>1.8333333333333333</v>
      </c>
      <c r="H6" s="598">
        <f>IF('Visit 5'!E7="","",'Visit 5'!E7)</f>
        <v>50</v>
      </c>
      <c r="I6" s="381">
        <f>H6*J6</f>
        <v>91.66666666666666</v>
      </c>
      <c r="J6" s="599">
        <f>G6</f>
        <v>1.8333333333333333</v>
      </c>
      <c r="K6" s="513">
        <f aca="true" t="shared" si="5" ref="K6:K15">(D6*B6)+(G6*E6)+(J6*H6)</f>
        <v>111.66666666666666</v>
      </c>
      <c r="L6" s="353">
        <f t="shared" si="0"/>
        <v>63</v>
      </c>
      <c r="M6" s="453">
        <f t="shared" si="4"/>
        <v>1.7724867724867723</v>
      </c>
      <c r="N6" s="353"/>
      <c r="O6" s="601"/>
    </row>
    <row r="7" spans="1:15" s="447" customFormat="1" ht="10.5">
      <c r="A7" s="473">
        <f>Demography!A7</f>
        <v>4</v>
      </c>
      <c r="B7" s="353">
        <f>IF('Visit 3'!D8="","",'Visit 3'!D8)</f>
        <v>7</v>
      </c>
      <c r="C7" s="353">
        <f>IF('Visit 3'!E8="","",'Visit 3'!E8)</f>
        <v>2.5</v>
      </c>
      <c r="D7" s="392">
        <f t="shared" si="1"/>
        <v>0.35714285714285715</v>
      </c>
      <c r="E7" s="598">
        <f>IF('Visit 4'!E8="","",'Visit 4'!E8)</f>
        <v>14</v>
      </c>
      <c r="F7" s="353">
        <f>IF('Visit 4'!F8="","",'Visit 4'!F8)</f>
        <v>12</v>
      </c>
      <c r="G7" s="599">
        <f t="shared" si="2"/>
        <v>0.8571428571428571</v>
      </c>
      <c r="H7" s="598">
        <f>IF('Visit 5'!E8="","",'Visit 5'!E8)</f>
        <v>31</v>
      </c>
      <c r="I7" s="353">
        <f>IF('Visit 5'!F8="","",'Visit 5'!F8)</f>
        <v>46.75</v>
      </c>
      <c r="J7" s="599">
        <f t="shared" si="3"/>
        <v>1.5080645161290323</v>
      </c>
      <c r="K7" s="513">
        <f t="shared" si="5"/>
        <v>61.25</v>
      </c>
      <c r="L7" s="353">
        <f t="shared" si="0"/>
        <v>52</v>
      </c>
      <c r="M7" s="453">
        <f t="shared" si="4"/>
        <v>1.1778846153846154</v>
      </c>
      <c r="N7" s="353"/>
      <c r="O7" s="601"/>
    </row>
    <row r="8" spans="1:15" s="447" customFormat="1" ht="10.5">
      <c r="A8" s="473">
        <f>Demography!A8</f>
        <v>5</v>
      </c>
      <c r="B8" s="353">
        <f>IF('Visit 3'!D9="","",'Visit 3'!D9)</f>
        <v>7</v>
      </c>
      <c r="C8" s="353">
        <f>IF('Visit 3'!E9="","",'Visit 3'!E9)</f>
        <v>13.5</v>
      </c>
      <c r="D8" s="392">
        <f t="shared" si="1"/>
        <v>1.9285714285714286</v>
      </c>
      <c r="E8" s="598">
        <f>IF('Visit 4'!E9="","",'Visit 4'!E9)</f>
        <v>7</v>
      </c>
      <c r="F8" s="353">
        <f>IF('Visit 4'!F9="","",'Visit 4'!F9)</f>
        <v>17</v>
      </c>
      <c r="G8" s="599">
        <f t="shared" si="2"/>
        <v>2.4285714285714284</v>
      </c>
      <c r="H8" s="598">
        <f>IF('Visit 5'!E9="","",'Visit 5'!E9)</f>
        <v>47</v>
      </c>
      <c r="I8" s="353">
        <v>96</v>
      </c>
      <c r="J8" s="599">
        <v>1</v>
      </c>
      <c r="K8" s="513">
        <f>(D8*B8)+(G8*E8)+(J8*H8)</f>
        <v>77.5</v>
      </c>
      <c r="L8" s="353">
        <f t="shared" si="0"/>
        <v>61</v>
      </c>
      <c r="M8" s="453">
        <f>(K8/L8)</f>
        <v>1.2704918032786885</v>
      </c>
      <c r="N8" s="353"/>
      <c r="O8" s="601"/>
    </row>
    <row r="9" spans="1:15" s="606" customFormat="1" ht="10.5">
      <c r="A9" s="473">
        <f>Demography!A9</f>
        <v>6</v>
      </c>
      <c r="B9" s="602">
        <f>IF('Visit 3'!D10="","",'Visit 3'!D10)</f>
        <v>14</v>
      </c>
      <c r="C9" s="353">
        <f>B9*D9</f>
        <v>14</v>
      </c>
      <c r="D9" s="353">
        <v>1</v>
      </c>
      <c r="E9" s="603">
        <f>IF('Visit 4'!E10="","",'Visit 4'!E10)</f>
        <v>21</v>
      </c>
      <c r="F9" s="353">
        <f>E9*G9</f>
        <v>21</v>
      </c>
      <c r="G9" s="574">
        <v>1</v>
      </c>
      <c r="H9" s="603">
        <f>IF('Visit 5'!E10="","",'Visit 5'!E10)-60</f>
        <v>328</v>
      </c>
      <c r="I9" s="379">
        <f>25*H9/7</f>
        <v>1171.4285714285713</v>
      </c>
      <c r="J9" s="604">
        <f>I9/H9</f>
        <v>3.571428571428571</v>
      </c>
      <c r="K9" s="513">
        <f>(D9*B9)+(G9*E9)+(J9*H9)</f>
        <v>1206.4285714285713</v>
      </c>
      <c r="L9" s="353">
        <f t="shared" si="0"/>
        <v>363</v>
      </c>
      <c r="M9" s="453">
        <f>(K9/L9)</f>
        <v>3.3234946871310505</v>
      </c>
      <c r="N9" s="353"/>
      <c r="O9" s="605"/>
    </row>
    <row r="10" spans="1:15" s="447" customFormat="1" ht="10.5">
      <c r="A10" s="348">
        <f>Demography!A10</f>
        <v>7</v>
      </c>
      <c r="B10" s="353">
        <f>IF('Visit 3'!D11="","",'Visit 3'!D11)</f>
        <v>7</v>
      </c>
      <c r="C10" s="353">
        <f>IF('Visit 3'!E11="","",'Visit 3'!E11)</f>
        <v>5</v>
      </c>
      <c r="D10" s="392">
        <f t="shared" si="1"/>
        <v>0.7142857142857143</v>
      </c>
      <c r="E10" s="598">
        <f>IF('Visit 4'!E11="","",'Visit 4'!E11)</f>
        <v>73</v>
      </c>
      <c r="F10" s="353">
        <f>IF('Visit 4'!F11="","",'Visit 4'!F11)</f>
        <v>51.5</v>
      </c>
      <c r="G10" s="599">
        <f t="shared" si="2"/>
        <v>0.7054794520547946</v>
      </c>
      <c r="H10" s="598">
        <f>IF('Visit 5'!E11="","",'Visit 5'!E11)</f>
        <v>63</v>
      </c>
      <c r="I10" s="353">
        <f>IF('Visit 5'!F11="","",'Visit 5'!F11)</f>
        <v>25</v>
      </c>
      <c r="J10" s="599">
        <f t="shared" si="3"/>
        <v>0.3968253968253968</v>
      </c>
      <c r="K10" s="513">
        <f t="shared" si="5"/>
        <v>81.5</v>
      </c>
      <c r="L10" s="353">
        <f t="shared" si="0"/>
        <v>143</v>
      </c>
      <c r="M10" s="453">
        <f t="shared" si="4"/>
        <v>0.5699300699300699</v>
      </c>
      <c r="N10" s="353"/>
      <c r="O10" s="601"/>
    </row>
    <row r="11" spans="1:15" s="447" customFormat="1" ht="10.5">
      <c r="A11" s="473">
        <f>Demography!A11</f>
        <v>8</v>
      </c>
      <c r="B11" s="353">
        <f>IF('Visit 3'!D12="","",'Visit 3'!D12)</f>
        <v>8</v>
      </c>
      <c r="C11" s="353">
        <f>IF('Visit 3'!E12="","",'Visit 3'!E12)</f>
        <v>3.5</v>
      </c>
      <c r="D11" s="392">
        <f t="shared" si="1"/>
        <v>0.4375</v>
      </c>
      <c r="E11" s="598">
        <f>IF('Visit 4'!E12="","",'Visit 4'!E12)</f>
        <v>17</v>
      </c>
      <c r="F11" s="353">
        <f>IF('Visit 4'!F12="","",'Visit 4'!F12)</f>
        <v>10.5</v>
      </c>
      <c r="G11" s="599">
        <f t="shared" si="2"/>
        <v>0.6176470588235294</v>
      </c>
      <c r="H11" s="598">
        <f>IF('Visit 5'!E12="","",'Visit 5'!E12)</f>
        <v>117</v>
      </c>
      <c r="I11" s="353">
        <f>H11*J11</f>
        <v>526.5</v>
      </c>
      <c r="J11" s="599">
        <f>AVERAGE(2,7)</f>
        <v>4.5</v>
      </c>
      <c r="K11" s="513">
        <f t="shared" si="5"/>
        <v>540.5</v>
      </c>
      <c r="L11" s="353">
        <f t="shared" si="0"/>
        <v>142</v>
      </c>
      <c r="M11" s="453">
        <f t="shared" si="4"/>
        <v>3.806338028169014</v>
      </c>
      <c r="N11" s="353"/>
      <c r="O11" s="601"/>
    </row>
    <row r="12" spans="1:15" s="447" customFormat="1" ht="10.5">
      <c r="A12" s="473">
        <f>Demography!A12</f>
        <v>9</v>
      </c>
      <c r="B12" s="353">
        <f>IF('Visit 3'!D13="","",'Visit 3'!D13)</f>
        <v>7</v>
      </c>
      <c r="C12" s="353">
        <f>IF('Visit 3'!E13="","",'Visit 3'!E13)</f>
        <v>3.25</v>
      </c>
      <c r="D12" s="392">
        <f t="shared" si="1"/>
        <v>0.4642857142857143</v>
      </c>
      <c r="E12" s="598">
        <f>IF('Visit 4'!E13="","",'Visit 4'!E13)</f>
        <v>6</v>
      </c>
      <c r="F12" s="353">
        <f>IF('Visit 4'!F13="","",'Visit 4'!F13)</f>
        <v>5</v>
      </c>
      <c r="G12" s="599">
        <f t="shared" si="2"/>
        <v>0.8333333333333334</v>
      </c>
      <c r="H12" s="598">
        <f>IF('Visit 5'!E13="","",'Visit 5'!E13)</f>
        <v>29</v>
      </c>
      <c r="I12" s="353">
        <f>IF('Visit 5'!F13="","",'Visit 5'!F13)</f>
        <v>15.5</v>
      </c>
      <c r="J12" s="599">
        <f t="shared" si="3"/>
        <v>0.5344827586206896</v>
      </c>
      <c r="K12" s="513">
        <f t="shared" si="5"/>
        <v>23.75</v>
      </c>
      <c r="L12" s="353">
        <f t="shared" si="0"/>
        <v>42</v>
      </c>
      <c r="M12" s="453">
        <f t="shared" si="4"/>
        <v>0.5654761904761905</v>
      </c>
      <c r="N12" s="353"/>
      <c r="O12" s="601"/>
    </row>
    <row r="13" spans="1:15" s="447" customFormat="1" ht="10.5">
      <c r="A13" s="377">
        <f>Demography!A13</f>
        <v>10</v>
      </c>
      <c r="B13" s="353">
        <f>IF('Visit 3'!D14="","",'Visit 3'!D14)</f>
        <v>7</v>
      </c>
      <c r="C13" s="353">
        <f>IF('Visit 3'!E14="","",'Visit 3'!E14)</f>
        <v>16</v>
      </c>
      <c r="D13" s="392">
        <f t="shared" si="1"/>
        <v>2.2857142857142856</v>
      </c>
      <c r="E13" s="598">
        <f>IF('Visit 4'!E14="","",'Visit 4'!E14)</f>
        <v>6</v>
      </c>
      <c r="F13" s="353">
        <f>IF('Visit 4'!F14="","",'Visit 4'!F14)</f>
        <v>16</v>
      </c>
      <c r="G13" s="599">
        <f t="shared" si="2"/>
        <v>2.6666666666666665</v>
      </c>
      <c r="H13" s="598">
        <f>IF('Visit 5'!E14="","",'Visit 5'!E14)</f>
        <v>36</v>
      </c>
      <c r="I13" s="353">
        <f>H13*J13</f>
        <v>96</v>
      </c>
      <c r="J13" s="599">
        <f>G13</f>
        <v>2.6666666666666665</v>
      </c>
      <c r="K13" s="513">
        <f t="shared" si="5"/>
        <v>128</v>
      </c>
      <c r="L13" s="353">
        <f t="shared" si="0"/>
        <v>49</v>
      </c>
      <c r="M13" s="453">
        <f t="shared" si="4"/>
        <v>2.6122448979591835</v>
      </c>
      <c r="N13" s="353"/>
      <c r="O13" s="601"/>
    </row>
    <row r="14" spans="1:15" s="447" customFormat="1" ht="10.5">
      <c r="A14" s="473">
        <f>Demography!A14</f>
        <v>11</v>
      </c>
      <c r="B14" s="353">
        <f>IF('Visit 3'!D15="","",'Visit 3'!D15)</f>
        <v>10</v>
      </c>
      <c r="C14" s="353">
        <f>IF('Visit 3'!E15="","",'Visit 3'!E15)</f>
        <v>18</v>
      </c>
      <c r="D14" s="353">
        <f t="shared" si="1"/>
        <v>1.8</v>
      </c>
      <c r="E14" s="598">
        <f>IF('Visit 4'!E15="","",'Visit 4'!E15)</f>
        <v>7</v>
      </c>
      <c r="F14" s="353">
        <f>IF('Visit 4'!F15="","",'Visit 4'!F15)</f>
        <v>7</v>
      </c>
      <c r="G14" s="599">
        <f t="shared" si="2"/>
        <v>1</v>
      </c>
      <c r="H14" s="598">
        <f>IF('Visit 5'!E15="","",'Visit 5'!E15)</f>
        <v>35</v>
      </c>
      <c r="I14" s="353">
        <f>IF('Visit 5'!F15="","",'Visit 5'!F15)</f>
        <v>46.5</v>
      </c>
      <c r="J14" s="599">
        <f t="shared" si="3"/>
        <v>1.3285714285714285</v>
      </c>
      <c r="K14" s="513">
        <f t="shared" si="5"/>
        <v>71.5</v>
      </c>
      <c r="L14" s="353">
        <f t="shared" si="0"/>
        <v>52</v>
      </c>
      <c r="M14" s="453">
        <f t="shared" si="4"/>
        <v>1.375</v>
      </c>
      <c r="N14" s="353"/>
      <c r="O14" s="601"/>
    </row>
    <row r="15" spans="1:15" s="447" customFormat="1" ht="11.25" thickBot="1">
      <c r="A15" s="393">
        <f>Demography!A15</f>
        <v>12</v>
      </c>
      <c r="B15" s="357">
        <f>IF('Visit 3'!D16="","",'Visit 3'!D16)</f>
        <v>8</v>
      </c>
      <c r="C15" s="357">
        <f>IF('Visit 3'!E16="","",'Visit 3'!E16)</f>
        <v>8</v>
      </c>
      <c r="D15" s="357">
        <f>IF(C15="","",C15/B15)</f>
        <v>1</v>
      </c>
      <c r="E15" s="607">
        <f>IF('Visit 4'!E16="","",'Visit 4'!E16)</f>
        <v>9</v>
      </c>
      <c r="F15" s="357">
        <f>IF('Visit 4'!F16="","",'Visit 4'!F16)</f>
        <v>7.5</v>
      </c>
      <c r="G15" s="608">
        <f>IF(F15="","",F15/E15)</f>
        <v>0.8333333333333334</v>
      </c>
      <c r="H15" s="607">
        <f>IF('Visit 5'!E16="","",'Visit 5'!E16)</f>
        <v>100</v>
      </c>
      <c r="I15" s="395">
        <f>H15*J15</f>
        <v>83.33333333333334</v>
      </c>
      <c r="J15" s="608">
        <f>G15</f>
        <v>0.8333333333333334</v>
      </c>
      <c r="K15" s="517">
        <f t="shared" si="5"/>
        <v>98.83333333333334</v>
      </c>
      <c r="L15" s="357">
        <f t="shared" si="0"/>
        <v>117</v>
      </c>
      <c r="M15" s="455">
        <f t="shared" si="4"/>
        <v>0.8447293447293448</v>
      </c>
      <c r="N15" s="353"/>
      <c r="O15" s="601"/>
    </row>
    <row r="16" spans="1:15" ht="34.5" customHeight="1">
      <c r="A16" s="330" t="str">
        <f>'Visit 5'!A17</f>
        <v>Subjects who completed study and continued to wear Trifield glasses: 1-6, 8-9, and S11</v>
      </c>
      <c r="B16" s="330"/>
      <c r="C16" s="330"/>
      <c r="D16" s="330"/>
      <c r="E16" s="330"/>
      <c r="F16" s="330"/>
      <c r="G16" s="330"/>
      <c r="I16" s="6"/>
      <c r="J16" s="6"/>
      <c r="K16" s="345" t="s">
        <v>143</v>
      </c>
      <c r="L16" s="346"/>
      <c r="M16" s="205" t="s">
        <v>193</v>
      </c>
      <c r="N16" s="106"/>
      <c r="O16" s="106"/>
    </row>
    <row r="17" spans="1:15" ht="11.25" customHeight="1">
      <c r="A17" s="217"/>
      <c r="I17" s="6"/>
      <c r="J17" s="6"/>
      <c r="K17" s="609" t="s">
        <v>140</v>
      </c>
      <c r="L17" s="514">
        <f>AVERAGE(M4:M15)</f>
        <v>1.5415450325007425</v>
      </c>
      <c r="M17" s="514">
        <f>AVERAGE(M4:M9,M11:M12,M14)</f>
        <v>1.607959564154479</v>
      </c>
      <c r="N17" s="99"/>
      <c r="O17" s="189"/>
    </row>
    <row r="18" spans="1:15" ht="14.25" customHeight="1">
      <c r="A18" s="217"/>
      <c r="I18" s="6"/>
      <c r="J18" s="6"/>
      <c r="K18" s="610" t="s">
        <v>174</v>
      </c>
      <c r="L18" s="411">
        <f>STDEV(M4:M15)</f>
        <v>1.1253612931939365</v>
      </c>
      <c r="M18" s="411">
        <f>STDEV(M4:M9,M11:M12,M14)</f>
        <v>1.1892820571761509</v>
      </c>
      <c r="N18" s="106"/>
      <c r="O18" s="106"/>
    </row>
    <row r="19" spans="11:15" ht="10.5">
      <c r="K19" s="609" t="s">
        <v>120</v>
      </c>
      <c r="L19" s="514">
        <f>MEDIAN(M4:M15)</f>
        <v>1.2241882093316518</v>
      </c>
      <c r="M19" s="514">
        <f>MEDIAN(M4:M9,M11:M12,M14)</f>
        <v>1.2704918032786885</v>
      </c>
      <c r="N19" s="106"/>
      <c r="O19" s="108"/>
    </row>
    <row r="20" spans="11:15" ht="10.5" customHeight="1">
      <c r="K20" s="609" t="s">
        <v>141</v>
      </c>
      <c r="L20" s="514">
        <f>MIN(M4:M15)</f>
        <v>0.5654761904761905</v>
      </c>
      <c r="M20" s="514">
        <f>MIN(M4:M9,M11:M12,M14)</f>
        <v>0.5654761904761905</v>
      </c>
      <c r="N20" s="106"/>
      <c r="O20" s="108"/>
    </row>
    <row r="21" spans="1:15" ht="11.25" thickBot="1">
      <c r="A21" s="136"/>
      <c r="K21" s="611" t="s">
        <v>142</v>
      </c>
      <c r="L21" s="522">
        <f>MAX(M4:M15)</f>
        <v>3.806338028169014</v>
      </c>
      <c r="M21" s="522">
        <f>MAX(M4:M9,M11:M12,M14)</f>
        <v>3.806338028169014</v>
      </c>
      <c r="N21" s="106"/>
      <c r="O21" s="108"/>
    </row>
    <row r="22" spans="1:15" ht="10.5">
      <c r="A22" s="136"/>
      <c r="K22" s="2"/>
      <c r="L22" s="2"/>
      <c r="M22" s="2"/>
      <c r="N22" s="106"/>
      <c r="O22" s="108"/>
    </row>
    <row r="23" spans="1:15" ht="32.25" customHeight="1">
      <c r="A23" s="136"/>
      <c r="K23" s="2"/>
      <c r="L23" s="104"/>
      <c r="M23" s="2"/>
      <c r="N23" s="106"/>
      <c r="O23" s="108"/>
    </row>
    <row r="24" spans="10:13" ht="10.5">
      <c r="J24" s="29"/>
      <c r="L24" s="2"/>
      <c r="M24" s="2"/>
    </row>
    <row r="25" spans="12:13" ht="10.5">
      <c r="L25" s="2"/>
      <c r="M25" s="2"/>
    </row>
    <row r="26" spans="12:13" ht="10.5">
      <c r="L26" s="2"/>
      <c r="M26" s="2"/>
    </row>
    <row r="27" spans="12:13" ht="10.5">
      <c r="L27" s="2"/>
      <c r="M27" s="2"/>
    </row>
    <row r="28" spans="12:13" ht="10.5">
      <c r="L28" s="2"/>
      <c r="M28" s="2"/>
    </row>
  </sheetData>
  <mergeCells count="9">
    <mergeCell ref="A17:A18"/>
    <mergeCell ref="A16:G16"/>
    <mergeCell ref="A1:A2"/>
    <mergeCell ref="B1:M1"/>
    <mergeCell ref="K2:M2"/>
    <mergeCell ref="K16:L16"/>
    <mergeCell ref="E2:G2"/>
    <mergeCell ref="B2:D2"/>
    <mergeCell ref="H2:J2"/>
  </mergeCells>
  <printOptions/>
  <pageMargins left="0.75" right="0.75" top="1" bottom="1" header="0.5" footer="0.5"/>
  <pageSetup horizontalDpi="600" verticalDpi="600" orientation="portrait" r:id="rId1"/>
  <ignoredErrors>
    <ignoredError sqref="J12:J14 J6:J11 I12:I14" formula="1"/>
  </ignoredErrors>
</worksheet>
</file>

<file path=xl/worksheets/sheet2.xml><?xml version="1.0" encoding="utf-8"?>
<worksheet xmlns="http://schemas.openxmlformats.org/spreadsheetml/2006/main" xmlns:r="http://schemas.openxmlformats.org/officeDocument/2006/relationships">
  <dimension ref="A1:J29"/>
  <sheetViews>
    <sheetView workbookViewId="0" topLeftCell="A1">
      <selection activeCell="F27" sqref="F27"/>
    </sheetView>
  </sheetViews>
  <sheetFormatPr defaultColWidth="9.140625" defaultRowHeight="12"/>
  <cols>
    <col min="1" max="1" width="19.421875" style="6" customWidth="1"/>
    <col min="2" max="3" width="10.8515625" style="6" customWidth="1"/>
    <col min="4" max="4" width="21.7109375" style="6" customWidth="1"/>
    <col min="5" max="5" width="14.421875" style="6" customWidth="1"/>
    <col min="6" max="6" width="12.28125" style="6" customWidth="1"/>
    <col min="7" max="7" width="21.8515625" style="6" customWidth="1"/>
    <col min="8" max="16384" width="12.00390625" style="6" customWidth="1"/>
  </cols>
  <sheetData>
    <row r="1" spans="1:9" ht="19.5" customHeight="1">
      <c r="A1" s="229" t="s">
        <v>111</v>
      </c>
      <c r="B1" s="208" t="s">
        <v>112</v>
      </c>
      <c r="C1" s="187"/>
      <c r="D1" s="187"/>
      <c r="E1" s="187"/>
      <c r="F1" s="187"/>
      <c r="G1" s="188"/>
      <c r="H1" s="44"/>
      <c r="I1" s="44"/>
    </row>
    <row r="2" spans="1:9" ht="53.25" customHeight="1">
      <c r="A2" s="230"/>
      <c r="B2" s="183"/>
      <c r="C2" s="184"/>
      <c r="D2" s="184"/>
      <c r="E2" s="184"/>
      <c r="F2" s="184"/>
      <c r="G2" s="180"/>
      <c r="H2" s="44"/>
      <c r="I2" s="44"/>
    </row>
    <row r="3" spans="1:9" s="1" customFormat="1" ht="30" customHeight="1">
      <c r="A3" s="66" t="s">
        <v>234</v>
      </c>
      <c r="B3" s="41" t="s">
        <v>117</v>
      </c>
      <c r="C3" s="40" t="s">
        <v>151</v>
      </c>
      <c r="D3" s="369" t="s">
        <v>70</v>
      </c>
      <c r="E3" s="40" t="s">
        <v>74</v>
      </c>
      <c r="F3" s="41" t="s">
        <v>45</v>
      </c>
      <c r="G3" s="40" t="s">
        <v>152</v>
      </c>
      <c r="H3" s="45"/>
      <c r="I3" s="45"/>
    </row>
    <row r="4" spans="1:10" ht="10.5">
      <c r="A4" s="348">
        <v>1</v>
      </c>
      <c r="B4" s="349">
        <v>55.88774811772758</v>
      </c>
      <c r="C4" s="350" t="s">
        <v>72</v>
      </c>
      <c r="D4" s="350" t="s">
        <v>95</v>
      </c>
      <c r="E4" s="350" t="s">
        <v>75</v>
      </c>
      <c r="F4" s="350" t="s">
        <v>94</v>
      </c>
      <c r="G4" s="351" t="s">
        <v>94</v>
      </c>
      <c r="I4" s="49"/>
      <c r="J4" s="11"/>
    </row>
    <row r="5" spans="1:10" ht="10.5">
      <c r="A5" s="348">
        <v>2</v>
      </c>
      <c r="B5" s="349">
        <v>49.223819301848046</v>
      </c>
      <c r="C5" s="350" t="s">
        <v>72</v>
      </c>
      <c r="D5" s="350" t="s">
        <v>77</v>
      </c>
      <c r="E5" s="350" t="s">
        <v>75</v>
      </c>
      <c r="F5" s="350" t="s">
        <v>78</v>
      </c>
      <c r="G5" s="351" t="s">
        <v>78</v>
      </c>
      <c r="I5" s="49"/>
      <c r="J5" s="11"/>
    </row>
    <row r="6" spans="1:10" ht="10.5">
      <c r="A6" s="348">
        <v>3</v>
      </c>
      <c r="B6" s="349">
        <v>38.59000684462697</v>
      </c>
      <c r="C6" s="350" t="s">
        <v>72</v>
      </c>
      <c r="D6" s="350" t="s">
        <v>76</v>
      </c>
      <c r="E6" s="350" t="s">
        <v>98</v>
      </c>
      <c r="F6" s="350" t="s">
        <v>94</v>
      </c>
      <c r="G6" s="351" t="s">
        <v>94</v>
      </c>
      <c r="I6" s="49"/>
      <c r="J6" s="11"/>
    </row>
    <row r="7" spans="1:10" ht="10.5">
      <c r="A7" s="348">
        <v>4</v>
      </c>
      <c r="B7" s="349">
        <v>45.42368240930869</v>
      </c>
      <c r="C7" s="350" t="s">
        <v>73</v>
      </c>
      <c r="D7" s="350" t="s">
        <v>76</v>
      </c>
      <c r="E7" s="350" t="s">
        <v>75</v>
      </c>
      <c r="F7" s="350" t="s">
        <v>94</v>
      </c>
      <c r="G7" s="351" t="s">
        <v>94</v>
      </c>
      <c r="I7" s="49"/>
      <c r="J7" s="11"/>
    </row>
    <row r="8" spans="1:10" ht="10.5">
      <c r="A8" s="348">
        <v>5</v>
      </c>
      <c r="B8" s="349">
        <v>40.90075290896646</v>
      </c>
      <c r="C8" s="350" t="s">
        <v>72</v>
      </c>
      <c r="D8" s="350" t="s">
        <v>76</v>
      </c>
      <c r="E8" s="350" t="s">
        <v>98</v>
      </c>
      <c r="F8" s="350" t="s">
        <v>78</v>
      </c>
      <c r="G8" s="351" t="s">
        <v>78</v>
      </c>
      <c r="I8" s="49"/>
      <c r="J8" s="11"/>
    </row>
    <row r="9" spans="1:10" ht="10.5">
      <c r="A9" s="348">
        <v>6</v>
      </c>
      <c r="B9" s="349">
        <v>45.492128678986994</v>
      </c>
      <c r="C9" s="350" t="s">
        <v>73</v>
      </c>
      <c r="D9" s="350" t="s">
        <v>76</v>
      </c>
      <c r="E9" s="350" t="s">
        <v>75</v>
      </c>
      <c r="F9" s="350" t="s">
        <v>78</v>
      </c>
      <c r="G9" s="351" t="s">
        <v>78</v>
      </c>
      <c r="I9" s="49"/>
      <c r="J9" s="11"/>
    </row>
    <row r="10" spans="1:10" ht="10.5">
      <c r="A10" s="348">
        <v>7</v>
      </c>
      <c r="B10" s="349">
        <v>56.610540725530456</v>
      </c>
      <c r="C10" s="350" t="s">
        <v>73</v>
      </c>
      <c r="D10" s="350" t="s">
        <v>76</v>
      </c>
      <c r="E10" s="350" t="s">
        <v>75</v>
      </c>
      <c r="F10" s="350" t="s">
        <v>78</v>
      </c>
      <c r="G10" s="351" t="s">
        <v>78</v>
      </c>
      <c r="I10" s="49"/>
      <c r="J10" s="11"/>
    </row>
    <row r="11" spans="1:10" ht="10.5">
      <c r="A11" s="348">
        <v>8</v>
      </c>
      <c r="B11" s="349">
        <v>58.25598904859685</v>
      </c>
      <c r="C11" s="350" t="s">
        <v>72</v>
      </c>
      <c r="D11" s="350" t="s">
        <v>76</v>
      </c>
      <c r="E11" s="350" t="s">
        <v>75</v>
      </c>
      <c r="F11" s="350" t="s">
        <v>94</v>
      </c>
      <c r="G11" s="351" t="s">
        <v>94</v>
      </c>
      <c r="I11" s="49"/>
      <c r="J11" s="11"/>
    </row>
    <row r="12" spans="1:10" ht="10.5">
      <c r="A12" s="348">
        <v>9</v>
      </c>
      <c r="B12" s="349">
        <v>52.70362765229295</v>
      </c>
      <c r="C12" s="350" t="s">
        <v>72</v>
      </c>
      <c r="D12" s="350" t="s">
        <v>76</v>
      </c>
      <c r="E12" s="350" t="s">
        <v>75</v>
      </c>
      <c r="F12" s="350" t="s">
        <v>94</v>
      </c>
      <c r="G12" s="351" t="s">
        <v>94</v>
      </c>
      <c r="I12" s="49"/>
      <c r="J12" s="11"/>
    </row>
    <row r="13" spans="1:10" ht="10.5">
      <c r="A13" s="348">
        <v>10</v>
      </c>
      <c r="B13" s="352">
        <v>43.13210130047912</v>
      </c>
      <c r="C13" s="353" t="s">
        <v>73</v>
      </c>
      <c r="D13" s="353" t="s">
        <v>95</v>
      </c>
      <c r="E13" s="353" t="s">
        <v>75</v>
      </c>
      <c r="F13" s="353" t="s">
        <v>78</v>
      </c>
      <c r="G13" s="354" t="s">
        <v>94</v>
      </c>
      <c r="I13" s="49"/>
      <c r="J13" s="11"/>
    </row>
    <row r="14" spans="1:10" ht="10.5">
      <c r="A14" s="348">
        <v>11</v>
      </c>
      <c r="B14" s="352">
        <v>46.455852156057496</v>
      </c>
      <c r="C14" s="353" t="s">
        <v>72</v>
      </c>
      <c r="D14" s="353" t="s">
        <v>95</v>
      </c>
      <c r="E14" s="353" t="s">
        <v>75</v>
      </c>
      <c r="F14" s="353" t="s">
        <v>94</v>
      </c>
      <c r="G14" s="354" t="s">
        <v>94</v>
      </c>
      <c r="I14" s="49"/>
      <c r="J14" s="11"/>
    </row>
    <row r="15" spans="1:10" ht="11.25" thickBot="1">
      <c r="A15" s="355">
        <v>12</v>
      </c>
      <c r="B15" s="356">
        <v>58.75154004106776</v>
      </c>
      <c r="C15" s="357" t="s">
        <v>73</v>
      </c>
      <c r="D15" s="357" t="s">
        <v>95</v>
      </c>
      <c r="E15" s="357" t="s">
        <v>75</v>
      </c>
      <c r="F15" s="357" t="s">
        <v>94</v>
      </c>
      <c r="G15" s="358" t="s">
        <v>94</v>
      </c>
      <c r="I15" s="49"/>
      <c r="J15" s="11"/>
    </row>
    <row r="16" spans="1:10" ht="10.5">
      <c r="A16" s="24"/>
      <c r="B16" s="129"/>
      <c r="C16" s="24"/>
      <c r="D16" s="24"/>
      <c r="E16" s="24"/>
      <c r="F16" s="24"/>
      <c r="G16" s="108"/>
      <c r="H16"/>
      <c r="I16" s="2"/>
      <c r="J16" s="11"/>
    </row>
    <row r="17" spans="1:10" ht="21.75" customHeight="1">
      <c r="A17" s="24"/>
      <c r="B17" s="175" t="s">
        <v>182</v>
      </c>
      <c r="C17" s="175"/>
      <c r="D17" s="175"/>
      <c r="E17" s="175"/>
      <c r="F17" s="175"/>
      <c r="G17" s="123"/>
      <c r="H17"/>
      <c r="I17" s="2"/>
      <c r="J17" s="11"/>
    </row>
    <row r="18" spans="2:10" ht="10.5">
      <c r="B18" s="95" t="s">
        <v>181</v>
      </c>
      <c r="G18"/>
      <c r="H18"/>
      <c r="I18" s="2"/>
      <c r="J18" s="11"/>
    </row>
    <row r="19" spans="7:10" ht="11.25" thickBot="1">
      <c r="G19"/>
      <c r="H19"/>
      <c r="I19" s="2"/>
      <c r="J19" s="11"/>
    </row>
    <row r="20" spans="2:9" ht="10.5">
      <c r="B20" s="227" t="s">
        <v>9</v>
      </c>
      <c r="C20" s="228"/>
      <c r="D20" s="228"/>
      <c r="E20" s="228"/>
      <c r="F20" s="181" t="s">
        <v>163</v>
      </c>
      <c r="G20" s="182"/>
      <c r="H20"/>
      <c r="I20"/>
    </row>
    <row r="21" spans="2:8" ht="10.5">
      <c r="B21" s="221" t="s">
        <v>151</v>
      </c>
      <c r="C21" s="222"/>
      <c r="D21" s="223" t="s">
        <v>45</v>
      </c>
      <c r="E21" s="224"/>
      <c r="F21" s="365" t="s">
        <v>120</v>
      </c>
      <c r="G21" s="366">
        <f>MEDIAN(B4:B15)</f>
        <v>47.83983572895277</v>
      </c>
      <c r="H21" s="10"/>
    </row>
    <row r="22" spans="2:8" ht="10.5">
      <c r="B22" s="359" t="s">
        <v>113</v>
      </c>
      <c r="C22" s="350">
        <f>COUNTIF(C4:C15,"m")</f>
        <v>7</v>
      </c>
      <c r="D22" s="360" t="s">
        <v>153</v>
      </c>
      <c r="E22" s="350">
        <f>COUNTIF(F4:F15,"yes")</f>
        <v>7</v>
      </c>
      <c r="F22" s="365" t="s">
        <v>118</v>
      </c>
      <c r="G22" s="366">
        <f>MIN(B4:B15)</f>
        <v>38.59000684462697</v>
      </c>
      <c r="H22" s="10"/>
    </row>
    <row r="23" spans="2:8" ht="11.25" thickBot="1">
      <c r="B23" s="359" t="s">
        <v>114</v>
      </c>
      <c r="C23" s="350">
        <f>COUNTIF(C4:C15,"f")</f>
        <v>5</v>
      </c>
      <c r="D23" s="360" t="s">
        <v>154</v>
      </c>
      <c r="E23" s="350">
        <f>COUNTIF(F4:F15,"no")</f>
        <v>5</v>
      </c>
      <c r="F23" s="367" t="s">
        <v>119</v>
      </c>
      <c r="G23" s="368">
        <f>MAX(B4:B15)</f>
        <v>58.75154004106776</v>
      </c>
      <c r="H23" s="34"/>
    </row>
    <row r="24" spans="2:5" ht="10.5">
      <c r="B24" s="221" t="s">
        <v>74</v>
      </c>
      <c r="C24" s="222"/>
      <c r="D24" s="225" t="s">
        <v>152</v>
      </c>
      <c r="E24" s="226"/>
    </row>
    <row r="25" spans="2:10" ht="10.5">
      <c r="B25" s="359" t="s">
        <v>115</v>
      </c>
      <c r="C25" s="350">
        <f>COUNTIF(E4:E15,"RP")</f>
        <v>10</v>
      </c>
      <c r="D25" s="360" t="s">
        <v>153</v>
      </c>
      <c r="E25" s="351">
        <f>COUNTIF(G4:G15,"yes")</f>
        <v>8</v>
      </c>
      <c r="F25" s="31"/>
      <c r="H25"/>
      <c r="I25"/>
      <c r="J25"/>
    </row>
    <row r="26" spans="2:10" ht="11.25" thickBot="1">
      <c r="B26" s="361" t="s">
        <v>116</v>
      </c>
      <c r="C26" s="362">
        <f>COUNTIF(E4:E15,"CHM")</f>
        <v>2</v>
      </c>
      <c r="D26" s="363" t="s">
        <v>154</v>
      </c>
      <c r="E26" s="364">
        <f>COUNTIF(G4:G15,"no")</f>
        <v>4</v>
      </c>
      <c r="H26"/>
      <c r="I26"/>
      <c r="J26"/>
    </row>
    <row r="27" spans="2:10" ht="10.5">
      <c r="B27" s="24"/>
      <c r="C27" s="24"/>
      <c r="D27" s="24"/>
      <c r="E27" s="24"/>
      <c r="H27"/>
      <c r="I27"/>
      <c r="J27"/>
    </row>
    <row r="28" spans="8:10" ht="10.5">
      <c r="H28"/>
      <c r="I28"/>
      <c r="J28"/>
    </row>
    <row r="29" spans="8:10" ht="10.5">
      <c r="H29"/>
      <c r="I29"/>
      <c r="J29"/>
    </row>
  </sheetData>
  <mergeCells count="9">
    <mergeCell ref="A1:A2"/>
    <mergeCell ref="B1:G2"/>
    <mergeCell ref="F20:G20"/>
    <mergeCell ref="B21:C21"/>
    <mergeCell ref="B17:F17"/>
    <mergeCell ref="B24:C24"/>
    <mergeCell ref="D21:E21"/>
    <mergeCell ref="D24:E24"/>
    <mergeCell ref="B20:E20"/>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S28"/>
  <sheetViews>
    <sheetView workbookViewId="0" topLeftCell="A1">
      <pane xSplit="1" ySplit="4" topLeftCell="B5" activePane="bottomRight" state="frozen"/>
      <selection pane="topLeft" activeCell="A1" sqref="A1"/>
      <selection pane="topRight" activeCell="D1" sqref="D1"/>
      <selection pane="bottomLeft" activeCell="A3" sqref="A3"/>
      <selection pane="bottomRight" activeCell="A29" sqref="A29"/>
    </sheetView>
  </sheetViews>
  <sheetFormatPr defaultColWidth="9.140625" defaultRowHeight="12"/>
  <cols>
    <col min="1" max="1" width="19.421875" style="6" customWidth="1"/>
    <col min="2" max="3" width="12.00390625" style="6" customWidth="1"/>
    <col min="4" max="4" width="12.421875" style="6" customWidth="1"/>
    <col min="5" max="5" width="11.421875" style="6" customWidth="1"/>
    <col min="6" max="6" width="8.00390625" style="6" customWidth="1"/>
    <col min="7" max="7" width="8.7109375" style="6" customWidth="1"/>
    <col min="8" max="8" width="12.00390625" style="6" customWidth="1"/>
    <col min="9" max="9" width="8.140625" style="6" customWidth="1"/>
    <col min="10" max="10" width="8.7109375" style="6" customWidth="1"/>
    <col min="11" max="11" width="10.7109375" style="6" customWidth="1"/>
    <col min="12" max="12" width="7.00390625" style="6" customWidth="1"/>
    <col min="13" max="13" width="7.28125" style="6" customWidth="1"/>
    <col min="14" max="14" width="9.00390625" style="6" customWidth="1"/>
    <col min="15" max="15" width="8.7109375" style="6" customWidth="1"/>
    <col min="16" max="16" width="7.7109375" style="6" customWidth="1"/>
    <col min="17" max="17" width="8.140625" style="6" customWidth="1"/>
    <col min="18" max="18" width="7.7109375" style="6" customWidth="1"/>
    <col min="19" max="19" width="8.00390625" style="6" customWidth="1"/>
    <col min="20" max="20" width="8.8515625" style="6" customWidth="1"/>
    <col min="21" max="21" width="8.421875" style="6" customWidth="1"/>
    <col min="22" max="22" width="8.00390625" style="6" customWidth="1"/>
    <col min="23" max="23" width="10.421875" style="6" customWidth="1"/>
    <col min="24" max="24" width="10.140625" style="6" customWidth="1"/>
    <col min="25" max="25" width="10.421875" style="6" customWidth="1"/>
    <col min="26" max="26" width="12.00390625" style="6" customWidth="1"/>
    <col min="27" max="27" width="13.421875" style="6" customWidth="1"/>
    <col min="28" max="28" width="12.00390625" style="6" customWidth="1"/>
    <col min="29" max="29" width="13.140625" style="6" customWidth="1"/>
    <col min="30" max="30" width="10.28125" style="6" customWidth="1"/>
    <col min="31" max="31" width="18.140625" style="6" customWidth="1"/>
    <col min="32" max="32" width="13.421875" style="34" customWidth="1"/>
    <col min="33" max="33" width="13.421875" style="6" customWidth="1"/>
    <col min="34" max="16384" width="12.00390625" style="6" customWidth="1"/>
  </cols>
  <sheetData>
    <row r="1" spans="1:33" ht="42" customHeight="1">
      <c r="A1" s="232" t="s">
        <v>111</v>
      </c>
      <c r="B1" s="434" t="s">
        <v>147</v>
      </c>
      <c r="C1" s="435"/>
      <c r="D1" s="285" t="s">
        <v>62</v>
      </c>
      <c r="E1" s="285"/>
      <c r="F1" s="285"/>
      <c r="G1" s="285"/>
      <c r="H1" s="285"/>
      <c r="I1" s="285"/>
      <c r="J1" s="285"/>
      <c r="K1" s="285"/>
      <c r="L1" s="285"/>
      <c r="M1" s="285"/>
      <c r="N1" s="177" t="s">
        <v>8</v>
      </c>
      <c r="O1" s="177"/>
      <c r="P1" s="177"/>
      <c r="Q1" s="176" t="s">
        <v>169</v>
      </c>
      <c r="R1" s="177"/>
      <c r="S1" s="177"/>
      <c r="T1" s="176" t="s">
        <v>201</v>
      </c>
      <c r="U1" s="177"/>
      <c r="V1" s="177"/>
      <c r="W1" s="169" t="s">
        <v>0</v>
      </c>
      <c r="X1" s="169"/>
      <c r="Y1" s="169"/>
      <c r="Z1" s="169"/>
      <c r="AA1" s="169"/>
      <c r="AB1" s="239" t="s">
        <v>36</v>
      </c>
      <c r="AC1" s="240"/>
      <c r="AD1" s="238" t="s">
        <v>156</v>
      </c>
      <c r="AE1" s="370"/>
      <c r="AF1" s="370"/>
      <c r="AG1" s="371"/>
    </row>
    <row r="2" spans="1:33" s="8" customFormat="1" ht="33" customHeight="1">
      <c r="A2" s="233"/>
      <c r="B2" s="372" t="s">
        <v>155</v>
      </c>
      <c r="C2" s="256" t="s">
        <v>90</v>
      </c>
      <c r="D2" s="246"/>
      <c r="E2" s="246"/>
      <c r="F2" s="246"/>
      <c r="G2" s="246"/>
      <c r="H2" s="246"/>
      <c r="I2" s="246"/>
      <c r="J2" s="246"/>
      <c r="K2" s="246"/>
      <c r="L2" s="246"/>
      <c r="M2" s="246"/>
      <c r="N2" s="178"/>
      <c r="O2" s="178"/>
      <c r="P2" s="178"/>
      <c r="Q2" s="178"/>
      <c r="R2" s="178"/>
      <c r="S2" s="178"/>
      <c r="T2" s="178"/>
      <c r="U2" s="178"/>
      <c r="V2" s="178"/>
      <c r="W2" s="143" t="s">
        <v>102</v>
      </c>
      <c r="X2" s="143"/>
      <c r="Y2" s="144" t="s">
        <v>103</v>
      </c>
      <c r="Z2" s="144"/>
      <c r="AA2" s="231" t="s">
        <v>202</v>
      </c>
      <c r="AB2" s="172" t="s">
        <v>38</v>
      </c>
      <c r="AC2" s="231" t="s">
        <v>170</v>
      </c>
      <c r="AD2" s="172" t="s">
        <v>2</v>
      </c>
      <c r="AE2" s="231" t="s">
        <v>158</v>
      </c>
      <c r="AF2" s="256" t="s">
        <v>157</v>
      </c>
      <c r="AG2" s="373"/>
    </row>
    <row r="3" spans="1:33" s="8" customFormat="1" ht="24.75" customHeight="1">
      <c r="A3" s="374" t="s">
        <v>234</v>
      </c>
      <c r="B3" s="372"/>
      <c r="C3" s="375"/>
      <c r="D3" s="172" t="s">
        <v>168</v>
      </c>
      <c r="E3" s="172" t="s">
        <v>167</v>
      </c>
      <c r="F3" s="172" t="s">
        <v>102</v>
      </c>
      <c r="G3" s="172" t="s">
        <v>51</v>
      </c>
      <c r="H3" s="172" t="s">
        <v>167</v>
      </c>
      <c r="I3" s="172" t="s">
        <v>103</v>
      </c>
      <c r="J3" s="172" t="s">
        <v>51</v>
      </c>
      <c r="K3" s="172" t="s">
        <v>167</v>
      </c>
      <c r="L3" s="172" t="s">
        <v>104</v>
      </c>
      <c r="M3" s="231" t="s">
        <v>51</v>
      </c>
      <c r="N3" s="172" t="s">
        <v>102</v>
      </c>
      <c r="O3" s="172" t="s">
        <v>103</v>
      </c>
      <c r="P3" s="231" t="s">
        <v>104</v>
      </c>
      <c r="Q3" s="172" t="s">
        <v>102</v>
      </c>
      <c r="R3" s="172" t="s">
        <v>103</v>
      </c>
      <c r="S3" s="231" t="s">
        <v>104</v>
      </c>
      <c r="T3" s="172" t="s">
        <v>102</v>
      </c>
      <c r="U3" s="172" t="s">
        <v>103</v>
      </c>
      <c r="V3" s="172" t="s">
        <v>104</v>
      </c>
      <c r="W3" s="172" t="s">
        <v>12</v>
      </c>
      <c r="X3" s="172" t="s">
        <v>13</v>
      </c>
      <c r="Y3" s="172" t="s">
        <v>12</v>
      </c>
      <c r="Z3" s="172" t="s">
        <v>13</v>
      </c>
      <c r="AA3" s="231"/>
      <c r="AB3" s="172"/>
      <c r="AC3" s="231"/>
      <c r="AD3" s="172"/>
      <c r="AE3" s="231"/>
      <c r="AF3" s="172" t="s">
        <v>22</v>
      </c>
      <c r="AG3" s="376" t="s">
        <v>166</v>
      </c>
    </row>
    <row r="4" spans="1:33" s="67" customFormat="1" ht="30" customHeight="1">
      <c r="A4" s="374"/>
      <c r="B4" s="372"/>
      <c r="C4" s="375"/>
      <c r="D4" s="172"/>
      <c r="E4" s="172"/>
      <c r="F4" s="172"/>
      <c r="G4" s="172"/>
      <c r="H4" s="172"/>
      <c r="I4" s="172"/>
      <c r="J4" s="172"/>
      <c r="K4" s="172"/>
      <c r="L4" s="172"/>
      <c r="M4" s="231"/>
      <c r="N4" s="172"/>
      <c r="O4" s="172"/>
      <c r="P4" s="231"/>
      <c r="Q4" s="172"/>
      <c r="R4" s="172"/>
      <c r="S4" s="231"/>
      <c r="T4" s="172"/>
      <c r="U4" s="172"/>
      <c r="V4" s="172"/>
      <c r="W4" s="172"/>
      <c r="X4" s="172"/>
      <c r="Y4" s="172"/>
      <c r="Z4" s="172"/>
      <c r="AA4" s="231"/>
      <c r="AB4" s="172"/>
      <c r="AC4" s="231"/>
      <c r="AD4" s="172"/>
      <c r="AE4" s="231"/>
      <c r="AF4" s="172"/>
      <c r="AG4" s="376"/>
    </row>
    <row r="5" spans="1:33" s="389" customFormat="1" ht="10.5">
      <c r="A5" s="377">
        <f>Demography!A4</f>
        <v>1</v>
      </c>
      <c r="B5" s="378">
        <v>35917</v>
      </c>
      <c r="C5" s="379">
        <f>IF('Visit 2'!B5="","",'Visit 2'!B5-B5)</f>
        <v>48</v>
      </c>
      <c r="D5" s="352">
        <v>10</v>
      </c>
      <c r="E5" s="379">
        <v>15</v>
      </c>
      <c r="F5" s="353">
        <v>40</v>
      </c>
      <c r="G5" s="350">
        <v>2</v>
      </c>
      <c r="H5" s="379">
        <v>15</v>
      </c>
      <c r="I5" s="350">
        <v>30</v>
      </c>
      <c r="J5" s="350">
        <v>1</v>
      </c>
      <c r="K5" s="379">
        <v>15</v>
      </c>
      <c r="L5" s="350">
        <v>30</v>
      </c>
      <c r="M5" s="350">
        <v>-1</v>
      </c>
      <c r="N5" s="380">
        <f aca="true" t="shared" si="0" ref="N5:N15">IF(F5="","",LOG10(((F5*D5)/E5)/20)-G5*(0.1/5))</f>
        <v>0.08493873660830001</v>
      </c>
      <c r="O5" s="381">
        <f>IF(I5="","",LOG10(((I5*D5)/H5)/20)-J5*(0.1/5))</f>
        <v>-0.02</v>
      </c>
      <c r="P5" s="381">
        <f>IF(L5="","",LOG10(((L5*D5)/K5)/20)-M5*(0.1/5))</f>
        <v>0.02</v>
      </c>
      <c r="Q5" s="380">
        <f aca="true" t="shared" si="1" ref="Q5:Q16">IF(N5="","",20*10^(N5))</f>
        <v>24.320289049490928</v>
      </c>
      <c r="R5" s="381">
        <f aca="true" t="shared" si="2" ref="R5:R16">IF(O5="","",20*10^(O5))</f>
        <v>19.099851720428717</v>
      </c>
      <c r="S5" s="381">
        <f aca="true" t="shared" si="3" ref="S5:S16">IF(P5="","",20*10^(P5))</f>
        <v>20.942570961017992</v>
      </c>
      <c r="T5" s="382">
        <f aca="true" t="shared" si="4" ref="T5:T16">6/(20/Q5)</f>
        <v>7.296086714847278</v>
      </c>
      <c r="U5" s="381">
        <f aca="true" t="shared" si="5" ref="U5:U16">6/(20/R5)</f>
        <v>5.729955516128615</v>
      </c>
      <c r="V5" s="381">
        <f aca="true" t="shared" si="6" ref="V5:V16">6/(20/S5)</f>
        <v>6.282771288305398</v>
      </c>
      <c r="W5" s="383">
        <v>4</v>
      </c>
      <c r="X5" s="384">
        <v>3.5</v>
      </c>
      <c r="Y5" s="384">
        <v>3.5</v>
      </c>
      <c r="Z5" s="384">
        <v>3.5</v>
      </c>
      <c r="AA5" s="384">
        <f>MAX(W5,Y5)+MAX(X5,Z5)</f>
        <v>7.5</v>
      </c>
      <c r="AB5" s="385">
        <v>-1</v>
      </c>
      <c r="AC5" s="386" t="s">
        <v>42</v>
      </c>
      <c r="AD5" s="387" t="s">
        <v>50</v>
      </c>
      <c r="AE5" s="388" t="s">
        <v>92</v>
      </c>
      <c r="AF5" s="387">
        <v>15</v>
      </c>
      <c r="AG5" s="366">
        <v>17</v>
      </c>
    </row>
    <row r="6" spans="1:33" s="389" customFormat="1" ht="10.5">
      <c r="A6" s="377">
        <f>Demography!A5</f>
        <v>2</v>
      </c>
      <c r="B6" s="390">
        <v>35993</v>
      </c>
      <c r="C6" s="379">
        <f>IF('Visit 2'!B6="","",'Visit 2'!B6-B6)</f>
        <v>76</v>
      </c>
      <c r="D6" s="352">
        <v>10</v>
      </c>
      <c r="E6" s="379">
        <v>15</v>
      </c>
      <c r="F6" s="353">
        <v>60</v>
      </c>
      <c r="G6" s="350">
        <v>1</v>
      </c>
      <c r="H6" s="379">
        <v>15</v>
      </c>
      <c r="I6" s="353">
        <v>50</v>
      </c>
      <c r="J6" s="350">
        <v>-3</v>
      </c>
      <c r="K6" s="379">
        <v>15</v>
      </c>
      <c r="L6" s="350">
        <v>40</v>
      </c>
      <c r="M6" s="350">
        <v>-2</v>
      </c>
      <c r="N6" s="380">
        <f t="shared" si="0"/>
        <v>0.2810299956639812</v>
      </c>
      <c r="O6" s="381">
        <f aca="true" t="shared" si="7" ref="O6:O15">IF(I6="","",LOG10(((I6*D6)/H6)/20)-J6*(0.1/5))</f>
        <v>0.2818487496163564</v>
      </c>
      <c r="P6" s="381">
        <f aca="true" t="shared" si="8" ref="P6:P15">IF(L6="","",LOG10(((L6*D6)/K6)/20)-M6*(0.1/5))</f>
        <v>0.1649387366083</v>
      </c>
      <c r="Q6" s="380">
        <f t="shared" si="1"/>
        <v>38.19970344085744</v>
      </c>
      <c r="R6" s="381">
        <f t="shared" si="2"/>
        <v>38.27178738322943</v>
      </c>
      <c r="S6" s="381">
        <f t="shared" si="3"/>
        <v>29.23941856381827</v>
      </c>
      <c r="T6" s="380">
        <f t="shared" si="4"/>
        <v>11.459911032257233</v>
      </c>
      <c r="U6" s="381">
        <f t="shared" si="5"/>
        <v>11.48153621496883</v>
      </c>
      <c r="V6" s="381">
        <f t="shared" si="6"/>
        <v>8.77182556914548</v>
      </c>
      <c r="W6" s="391">
        <v>4.5</v>
      </c>
      <c r="X6" s="384">
        <v>5</v>
      </c>
      <c r="Y6" s="384">
        <v>4.5</v>
      </c>
      <c r="Z6" s="384">
        <v>4.5</v>
      </c>
      <c r="AA6" s="384">
        <f aca="true" t="shared" si="9" ref="AA6:AA15">MAX(W6,Y6)+MAX(X6,Z6)</f>
        <v>9.5</v>
      </c>
      <c r="AB6" s="385">
        <v>-6</v>
      </c>
      <c r="AC6" s="386">
        <v>-3</v>
      </c>
      <c r="AD6" s="387" t="s">
        <v>23</v>
      </c>
      <c r="AE6" s="388" t="s">
        <v>37</v>
      </c>
      <c r="AF6" s="387">
        <v>16</v>
      </c>
      <c r="AG6" s="366">
        <v>27</v>
      </c>
    </row>
    <row r="7" spans="1:33" s="389" customFormat="1" ht="10.5">
      <c r="A7" s="377">
        <f>Demography!A6</f>
        <v>3</v>
      </c>
      <c r="B7" s="390">
        <v>35999</v>
      </c>
      <c r="C7" s="379">
        <f>IF('Visit 2'!B7="","",'Visit 2'!B7-B7)</f>
        <v>85</v>
      </c>
      <c r="D7" s="352">
        <v>10</v>
      </c>
      <c r="E7" s="379">
        <v>15</v>
      </c>
      <c r="F7" s="350">
        <v>100</v>
      </c>
      <c r="G7" s="350">
        <v>0</v>
      </c>
      <c r="H7" s="379">
        <v>15</v>
      </c>
      <c r="I7" s="350">
        <v>40</v>
      </c>
      <c r="J7" s="350">
        <v>-2</v>
      </c>
      <c r="K7" s="379">
        <v>15</v>
      </c>
      <c r="L7" s="350">
        <v>40</v>
      </c>
      <c r="M7" s="350">
        <v>-2</v>
      </c>
      <c r="N7" s="380">
        <f t="shared" si="0"/>
        <v>0.5228787452803376</v>
      </c>
      <c r="O7" s="381">
        <f t="shared" si="7"/>
        <v>0.1649387366083</v>
      </c>
      <c r="P7" s="381">
        <f t="shared" si="8"/>
        <v>0.1649387366083</v>
      </c>
      <c r="Q7" s="380">
        <f t="shared" si="1"/>
        <v>66.66666666666669</v>
      </c>
      <c r="R7" s="381">
        <f t="shared" si="2"/>
        <v>29.23941856381827</v>
      </c>
      <c r="S7" s="381">
        <f t="shared" si="3"/>
        <v>29.23941856381827</v>
      </c>
      <c r="T7" s="380">
        <f t="shared" si="4"/>
        <v>20.000000000000004</v>
      </c>
      <c r="U7" s="381">
        <f t="shared" si="5"/>
        <v>8.77182556914548</v>
      </c>
      <c r="V7" s="381">
        <f t="shared" si="6"/>
        <v>8.77182556914548</v>
      </c>
      <c r="W7" s="391">
        <v>7</v>
      </c>
      <c r="X7" s="384">
        <v>1.5</v>
      </c>
      <c r="Y7" s="384">
        <v>2.5</v>
      </c>
      <c r="Z7" s="384">
        <v>9</v>
      </c>
      <c r="AA7" s="384">
        <f t="shared" si="9"/>
        <v>16</v>
      </c>
      <c r="AB7" s="385">
        <v>1</v>
      </c>
      <c r="AC7" s="386">
        <v>6</v>
      </c>
      <c r="AD7" s="387" t="s">
        <v>23</v>
      </c>
      <c r="AE7" s="388" t="s">
        <v>37</v>
      </c>
      <c r="AF7" s="387">
        <v>27</v>
      </c>
      <c r="AG7" s="366">
        <v>21</v>
      </c>
    </row>
    <row r="8" spans="1:33" s="389" customFormat="1" ht="10.5">
      <c r="A8" s="377">
        <f>Demography!A7</f>
        <v>4</v>
      </c>
      <c r="B8" s="390">
        <v>36001</v>
      </c>
      <c r="C8" s="379">
        <f>IF('Visit 2'!B8="","",'Visit 2'!B8-B8)</f>
        <v>95</v>
      </c>
      <c r="D8" s="352">
        <v>10</v>
      </c>
      <c r="E8" s="379">
        <v>15</v>
      </c>
      <c r="F8" s="350">
        <v>40</v>
      </c>
      <c r="G8" s="350">
        <v>2</v>
      </c>
      <c r="H8" s="379">
        <v>15</v>
      </c>
      <c r="I8" s="350">
        <v>40</v>
      </c>
      <c r="J8" s="350">
        <v>1</v>
      </c>
      <c r="K8" s="379">
        <v>15</v>
      </c>
      <c r="L8" s="350">
        <v>30</v>
      </c>
      <c r="M8" s="350">
        <v>2</v>
      </c>
      <c r="N8" s="380">
        <f t="shared" si="0"/>
        <v>0.08493873660830001</v>
      </c>
      <c r="O8" s="381">
        <f t="shared" si="7"/>
        <v>0.1049387366083</v>
      </c>
      <c r="P8" s="381">
        <f t="shared" si="8"/>
        <v>-0.04</v>
      </c>
      <c r="Q8" s="380">
        <f t="shared" si="1"/>
        <v>24.320289049490928</v>
      </c>
      <c r="R8" s="381">
        <f t="shared" si="2"/>
        <v>25.466468960571632</v>
      </c>
      <c r="S8" s="381">
        <f t="shared" si="3"/>
        <v>18.240216787118193</v>
      </c>
      <c r="T8" s="380">
        <f t="shared" si="4"/>
        <v>7.296086714847278</v>
      </c>
      <c r="U8" s="381">
        <f t="shared" si="5"/>
        <v>7.639940688171489</v>
      </c>
      <c r="V8" s="381">
        <f t="shared" si="6"/>
        <v>5.472065036135458</v>
      </c>
      <c r="W8" s="391">
        <v>11.5</v>
      </c>
      <c r="X8" s="384">
        <v>7</v>
      </c>
      <c r="Y8" s="384">
        <v>8</v>
      </c>
      <c r="Z8" s="384">
        <v>10</v>
      </c>
      <c r="AA8" s="384">
        <f t="shared" si="9"/>
        <v>21.5</v>
      </c>
      <c r="AB8" s="385">
        <v>0.5</v>
      </c>
      <c r="AC8" s="386">
        <v>4</v>
      </c>
      <c r="AD8" s="387" t="s">
        <v>23</v>
      </c>
      <c r="AE8" s="388" t="s">
        <v>37</v>
      </c>
      <c r="AF8" s="387">
        <v>44</v>
      </c>
      <c r="AG8" s="366">
        <v>34</v>
      </c>
    </row>
    <row r="9" spans="1:33" s="389" customFormat="1" ht="10.5">
      <c r="A9" s="377">
        <f>Demography!A8</f>
        <v>5</v>
      </c>
      <c r="B9" s="390">
        <v>36062</v>
      </c>
      <c r="C9" s="379">
        <f>IF('Visit 2'!B9="","",'Visit 2'!B9-B9)</f>
        <v>107</v>
      </c>
      <c r="D9" s="352">
        <v>10</v>
      </c>
      <c r="E9" s="379">
        <v>15</v>
      </c>
      <c r="F9" s="350">
        <v>60</v>
      </c>
      <c r="G9" s="350">
        <v>1</v>
      </c>
      <c r="H9" s="379">
        <v>15</v>
      </c>
      <c r="I9" s="350">
        <v>50</v>
      </c>
      <c r="J9" s="350">
        <v>0</v>
      </c>
      <c r="K9" s="379">
        <v>15</v>
      </c>
      <c r="L9" s="350">
        <v>40</v>
      </c>
      <c r="M9" s="350">
        <v>-1</v>
      </c>
      <c r="N9" s="380">
        <f t="shared" si="0"/>
        <v>0.2810299956639812</v>
      </c>
      <c r="O9" s="381">
        <f t="shared" si="7"/>
        <v>0.2218487496163564</v>
      </c>
      <c r="P9" s="381">
        <f t="shared" si="8"/>
        <v>0.1449387366083</v>
      </c>
      <c r="Q9" s="380">
        <f t="shared" si="1"/>
        <v>38.19970344085744</v>
      </c>
      <c r="R9" s="381">
        <f t="shared" si="2"/>
        <v>33.33333333333334</v>
      </c>
      <c r="S9" s="381">
        <f t="shared" si="3"/>
        <v>27.923427948023992</v>
      </c>
      <c r="T9" s="380">
        <f t="shared" si="4"/>
        <v>11.459911032257233</v>
      </c>
      <c r="U9" s="381">
        <f t="shared" si="5"/>
        <v>10.000000000000002</v>
      </c>
      <c r="V9" s="381">
        <f t="shared" si="6"/>
        <v>8.377028384407197</v>
      </c>
      <c r="W9" s="391">
        <v>4.5</v>
      </c>
      <c r="X9" s="384">
        <v>7</v>
      </c>
      <c r="Y9" s="384">
        <v>8</v>
      </c>
      <c r="Z9" s="384">
        <v>5</v>
      </c>
      <c r="AA9" s="384">
        <f t="shared" si="9"/>
        <v>15</v>
      </c>
      <c r="AB9" s="385">
        <v>1</v>
      </c>
      <c r="AC9" s="386">
        <v>1</v>
      </c>
      <c r="AD9" s="387" t="s">
        <v>50</v>
      </c>
      <c r="AE9" s="388" t="s">
        <v>37</v>
      </c>
      <c r="AF9" s="387">
        <v>32</v>
      </c>
      <c r="AG9" s="366">
        <v>19</v>
      </c>
    </row>
    <row r="10" spans="1:33" s="389" customFormat="1" ht="10.5">
      <c r="A10" s="377">
        <f>Demography!A9</f>
        <v>6</v>
      </c>
      <c r="B10" s="390">
        <v>36256</v>
      </c>
      <c r="C10" s="379">
        <f>IF('Visit 2'!B10="","",'Visit 2'!B10-B10)</f>
        <v>100</v>
      </c>
      <c r="D10" s="352">
        <v>10</v>
      </c>
      <c r="E10" s="379">
        <v>15</v>
      </c>
      <c r="F10" s="350">
        <v>70</v>
      </c>
      <c r="G10" s="350">
        <v>2</v>
      </c>
      <c r="H10" s="379">
        <v>15</v>
      </c>
      <c r="I10" s="350">
        <v>100</v>
      </c>
      <c r="J10" s="350">
        <v>1</v>
      </c>
      <c r="K10" s="379">
        <v>15</v>
      </c>
      <c r="L10" s="350">
        <v>70</v>
      </c>
      <c r="M10" s="350">
        <v>2</v>
      </c>
      <c r="N10" s="380">
        <f t="shared" si="0"/>
        <v>0.32797678529459434</v>
      </c>
      <c r="O10" s="381">
        <f t="shared" si="7"/>
        <v>0.5028787452803376</v>
      </c>
      <c r="P10" s="381">
        <f t="shared" si="8"/>
        <v>0.32797678529459434</v>
      </c>
      <c r="Q10" s="380">
        <f t="shared" si="1"/>
        <v>42.56050583660912</v>
      </c>
      <c r="R10" s="381">
        <f t="shared" si="2"/>
        <v>63.66617240142907</v>
      </c>
      <c r="S10" s="381">
        <f t="shared" si="3"/>
        <v>42.56050583660912</v>
      </c>
      <c r="T10" s="380">
        <f t="shared" si="4"/>
        <v>12.768151750982735</v>
      </c>
      <c r="U10" s="381">
        <f t="shared" si="5"/>
        <v>19.09985172042872</v>
      </c>
      <c r="V10" s="381">
        <f t="shared" si="6"/>
        <v>12.768151750982735</v>
      </c>
      <c r="W10" s="391">
        <v>4</v>
      </c>
      <c r="X10" s="384">
        <v>3.5</v>
      </c>
      <c r="Y10" s="384">
        <v>4.5</v>
      </c>
      <c r="Z10" s="384">
        <v>4</v>
      </c>
      <c r="AA10" s="384">
        <f t="shared" si="9"/>
        <v>8.5</v>
      </c>
      <c r="AB10" s="385">
        <v>-6</v>
      </c>
      <c r="AC10" s="386">
        <v>1</v>
      </c>
      <c r="AD10" s="387" t="s">
        <v>23</v>
      </c>
      <c r="AE10" s="392" t="s">
        <v>37</v>
      </c>
      <c r="AF10" s="387">
        <v>19</v>
      </c>
      <c r="AG10" s="366">
        <v>24</v>
      </c>
    </row>
    <row r="11" spans="1:33" s="389" customFormat="1" ht="10.5">
      <c r="A11" s="377">
        <f>Demography!A10</f>
        <v>7</v>
      </c>
      <c r="B11" s="390">
        <v>36260</v>
      </c>
      <c r="C11" s="379">
        <f>IF('Visit 2'!B11="","",'Visit 2'!B11-B11)</f>
        <v>101</v>
      </c>
      <c r="D11" s="352">
        <v>10</v>
      </c>
      <c r="E11" s="379">
        <v>15</v>
      </c>
      <c r="F11" s="350">
        <v>70</v>
      </c>
      <c r="G11" s="350">
        <v>-2</v>
      </c>
      <c r="H11" s="379">
        <v>15</v>
      </c>
      <c r="I11" s="350">
        <v>100</v>
      </c>
      <c r="J11" s="350">
        <v>1</v>
      </c>
      <c r="K11" s="379">
        <v>15</v>
      </c>
      <c r="L11" s="350">
        <v>70</v>
      </c>
      <c r="M11" s="350">
        <v>-1</v>
      </c>
      <c r="N11" s="380">
        <f t="shared" si="0"/>
        <v>0.4079767852945943</v>
      </c>
      <c r="O11" s="381">
        <f t="shared" si="7"/>
        <v>0.5028787452803376</v>
      </c>
      <c r="P11" s="381">
        <f t="shared" si="8"/>
        <v>0.38797678529459434</v>
      </c>
      <c r="Q11" s="380">
        <f t="shared" si="1"/>
        <v>51.16898248668196</v>
      </c>
      <c r="R11" s="381">
        <f t="shared" si="2"/>
        <v>63.66617240142907</v>
      </c>
      <c r="S11" s="381">
        <f t="shared" si="3"/>
        <v>48.86599890904198</v>
      </c>
      <c r="T11" s="380">
        <f t="shared" si="4"/>
        <v>15.350694746004589</v>
      </c>
      <c r="U11" s="381">
        <f t="shared" si="5"/>
        <v>19.09985172042872</v>
      </c>
      <c r="V11" s="381">
        <f t="shared" si="6"/>
        <v>14.659799672712593</v>
      </c>
      <c r="W11" s="391">
        <v>8.5</v>
      </c>
      <c r="X11" s="384">
        <v>4.5</v>
      </c>
      <c r="Y11" s="384">
        <v>8</v>
      </c>
      <c r="Z11" s="384">
        <v>8</v>
      </c>
      <c r="AA11" s="384">
        <f t="shared" si="9"/>
        <v>16.5</v>
      </c>
      <c r="AB11" s="385">
        <v>-1</v>
      </c>
      <c r="AC11" s="386">
        <v>0</v>
      </c>
      <c r="AD11" s="387" t="s">
        <v>23</v>
      </c>
      <c r="AE11" s="392" t="s">
        <v>37</v>
      </c>
      <c r="AF11" s="387">
        <v>25</v>
      </c>
      <c r="AG11" s="366">
        <v>34</v>
      </c>
    </row>
    <row r="12" spans="1:33" s="389" customFormat="1" ht="10.5">
      <c r="A12" s="377">
        <f>Demography!A11</f>
        <v>8</v>
      </c>
      <c r="B12" s="390">
        <v>36349</v>
      </c>
      <c r="C12" s="379">
        <f>IF('Visit 2'!B12="","",'Visit 2'!B12-B12)</f>
        <v>82</v>
      </c>
      <c r="D12" s="352">
        <v>10</v>
      </c>
      <c r="E12" s="379">
        <v>15</v>
      </c>
      <c r="F12" s="350">
        <v>80</v>
      </c>
      <c r="G12" s="350">
        <v>1</v>
      </c>
      <c r="H12" s="379">
        <v>15</v>
      </c>
      <c r="I12" s="350">
        <v>100</v>
      </c>
      <c r="J12" s="350">
        <v>1</v>
      </c>
      <c r="K12" s="379">
        <v>15</v>
      </c>
      <c r="L12" s="350">
        <v>70</v>
      </c>
      <c r="M12" s="350">
        <v>0</v>
      </c>
      <c r="N12" s="380">
        <f t="shared" si="0"/>
        <v>0.4059687322722812</v>
      </c>
      <c r="O12" s="381">
        <f t="shared" si="7"/>
        <v>0.5028787452803376</v>
      </c>
      <c r="P12" s="381">
        <f t="shared" si="8"/>
        <v>0.3679767852945943</v>
      </c>
      <c r="Q12" s="380">
        <f t="shared" si="1"/>
        <v>50.932937921143264</v>
      </c>
      <c r="R12" s="381">
        <f t="shared" si="2"/>
        <v>63.66617240142907</v>
      </c>
      <c r="S12" s="381">
        <f t="shared" si="3"/>
        <v>46.66666666666666</v>
      </c>
      <c r="T12" s="380">
        <f t="shared" si="4"/>
        <v>15.279881376342978</v>
      </c>
      <c r="U12" s="381">
        <f t="shared" si="5"/>
        <v>19.09985172042872</v>
      </c>
      <c r="V12" s="381">
        <f t="shared" si="6"/>
        <v>13.999999999999996</v>
      </c>
      <c r="W12" s="391">
        <v>3</v>
      </c>
      <c r="X12" s="384">
        <v>3</v>
      </c>
      <c r="Y12" s="384">
        <v>3.5</v>
      </c>
      <c r="Z12" s="384">
        <v>4</v>
      </c>
      <c r="AA12" s="384">
        <f t="shared" si="9"/>
        <v>7.5</v>
      </c>
      <c r="AB12" s="385">
        <v>-4</v>
      </c>
      <c r="AC12" s="386">
        <v>-4</v>
      </c>
      <c r="AD12" s="387" t="s">
        <v>50</v>
      </c>
      <c r="AE12" s="392" t="s">
        <v>91</v>
      </c>
      <c r="AF12" s="387">
        <v>11</v>
      </c>
      <c r="AG12" s="366">
        <v>20</v>
      </c>
    </row>
    <row r="13" spans="1:33" s="389" customFormat="1" ht="10.5">
      <c r="A13" s="377">
        <f>Demography!A12</f>
        <v>9</v>
      </c>
      <c r="B13" s="390">
        <v>36363</v>
      </c>
      <c r="C13" s="379">
        <f>IF('Visit 2'!B13="","",'Visit 2'!B13-B13)</f>
        <v>64</v>
      </c>
      <c r="D13" s="352">
        <v>10</v>
      </c>
      <c r="E13" s="379">
        <v>15</v>
      </c>
      <c r="F13" s="350">
        <v>80</v>
      </c>
      <c r="G13" s="350">
        <v>1</v>
      </c>
      <c r="H13" s="379">
        <v>15</v>
      </c>
      <c r="I13" s="350">
        <v>50</v>
      </c>
      <c r="J13" s="350">
        <v>-2</v>
      </c>
      <c r="K13" s="379">
        <v>15</v>
      </c>
      <c r="L13" s="350">
        <v>60</v>
      </c>
      <c r="M13" s="350">
        <v>0</v>
      </c>
      <c r="N13" s="380">
        <f t="shared" si="0"/>
        <v>0.4059687322722812</v>
      </c>
      <c r="O13" s="381">
        <f t="shared" si="7"/>
        <v>0.2618487496163564</v>
      </c>
      <c r="P13" s="381">
        <f t="shared" si="8"/>
        <v>0.3010299956639812</v>
      </c>
      <c r="Q13" s="380">
        <f t="shared" si="1"/>
        <v>50.932937921143264</v>
      </c>
      <c r="R13" s="381">
        <f t="shared" si="2"/>
        <v>36.54927320477284</v>
      </c>
      <c r="S13" s="381">
        <f t="shared" si="3"/>
        <v>40</v>
      </c>
      <c r="T13" s="380">
        <f t="shared" si="4"/>
        <v>15.279881376342978</v>
      </c>
      <c r="U13" s="381">
        <f t="shared" si="5"/>
        <v>10.964781961431852</v>
      </c>
      <c r="V13" s="381">
        <f t="shared" si="6"/>
        <v>12</v>
      </c>
      <c r="W13" s="391">
        <v>4</v>
      </c>
      <c r="X13" s="384">
        <v>3.5</v>
      </c>
      <c r="Y13" s="384">
        <v>3</v>
      </c>
      <c r="Z13" s="384">
        <v>6</v>
      </c>
      <c r="AA13" s="384">
        <f t="shared" si="9"/>
        <v>10</v>
      </c>
      <c r="AB13" s="385">
        <v>-6</v>
      </c>
      <c r="AC13" s="386">
        <v>-2</v>
      </c>
      <c r="AD13" s="387" t="s">
        <v>50</v>
      </c>
      <c r="AE13" s="392" t="s">
        <v>37</v>
      </c>
      <c r="AF13" s="387">
        <v>13</v>
      </c>
      <c r="AG13" s="366">
        <v>28</v>
      </c>
    </row>
    <row r="14" spans="1:33" s="389" customFormat="1" ht="10.5">
      <c r="A14" s="377">
        <f>Demography!A13</f>
        <v>10</v>
      </c>
      <c r="B14" s="390">
        <v>36874</v>
      </c>
      <c r="C14" s="379">
        <f>IF('Visit 2'!B14="","",'Visit 2'!B14-B14)</f>
        <v>217</v>
      </c>
      <c r="D14" s="352">
        <v>21</v>
      </c>
      <c r="E14" s="379">
        <v>21</v>
      </c>
      <c r="F14" s="350">
        <v>100</v>
      </c>
      <c r="G14" s="350">
        <v>0</v>
      </c>
      <c r="H14" s="379">
        <v>21</v>
      </c>
      <c r="I14" s="350">
        <v>100</v>
      </c>
      <c r="J14" s="350">
        <v>0</v>
      </c>
      <c r="K14" s="379">
        <v>21</v>
      </c>
      <c r="L14" s="350">
        <v>100</v>
      </c>
      <c r="M14" s="350">
        <v>0</v>
      </c>
      <c r="N14" s="380">
        <f t="shared" si="0"/>
        <v>0.6989700043360189</v>
      </c>
      <c r="O14" s="381">
        <f t="shared" si="7"/>
        <v>0.6989700043360189</v>
      </c>
      <c r="P14" s="381">
        <f t="shared" si="8"/>
        <v>0.6989700043360189</v>
      </c>
      <c r="Q14" s="380">
        <f t="shared" si="1"/>
        <v>100.00000000000003</v>
      </c>
      <c r="R14" s="381">
        <f t="shared" si="2"/>
        <v>100.00000000000003</v>
      </c>
      <c r="S14" s="381">
        <f t="shared" si="3"/>
        <v>100.00000000000003</v>
      </c>
      <c r="T14" s="380">
        <f t="shared" si="4"/>
        <v>30.000000000000007</v>
      </c>
      <c r="U14" s="381">
        <f t="shared" si="5"/>
        <v>30.000000000000007</v>
      </c>
      <c r="V14" s="381">
        <f t="shared" si="6"/>
        <v>30.000000000000007</v>
      </c>
      <c r="W14" s="391">
        <v>6</v>
      </c>
      <c r="X14" s="384">
        <v>8</v>
      </c>
      <c r="Y14" s="384">
        <v>9</v>
      </c>
      <c r="Z14" s="384">
        <v>7.5</v>
      </c>
      <c r="AA14" s="384">
        <f t="shared" si="9"/>
        <v>17</v>
      </c>
      <c r="AB14" s="385">
        <v>1.5</v>
      </c>
      <c r="AC14" s="386">
        <v>-6.5</v>
      </c>
      <c r="AD14" s="385" t="s">
        <v>50</v>
      </c>
      <c r="AE14" s="392" t="s">
        <v>93</v>
      </c>
      <c r="AF14" s="387">
        <v>42</v>
      </c>
      <c r="AG14" s="366">
        <v>30</v>
      </c>
    </row>
    <row r="15" spans="1:33" s="389" customFormat="1" ht="10.5">
      <c r="A15" s="377">
        <f>Demography!A14</f>
        <v>11</v>
      </c>
      <c r="B15" s="390">
        <v>36939</v>
      </c>
      <c r="C15" s="379">
        <f>IF('Visit 2'!B15="","",'Visit 2'!B15-B15)</f>
        <v>122</v>
      </c>
      <c r="D15" s="352">
        <v>21</v>
      </c>
      <c r="E15" s="379">
        <v>21</v>
      </c>
      <c r="F15" s="350">
        <v>32</v>
      </c>
      <c r="G15" s="350">
        <v>-2</v>
      </c>
      <c r="H15" s="379">
        <v>21</v>
      </c>
      <c r="I15" s="350">
        <v>32</v>
      </c>
      <c r="J15" s="350">
        <v>2</v>
      </c>
      <c r="K15" s="379">
        <v>21</v>
      </c>
      <c r="L15" s="350">
        <v>32</v>
      </c>
      <c r="M15" s="350">
        <v>0</v>
      </c>
      <c r="N15" s="380">
        <f t="shared" si="0"/>
        <v>0.2441199826559248</v>
      </c>
      <c r="O15" s="381">
        <f t="shared" si="7"/>
        <v>0.16411998265592478</v>
      </c>
      <c r="P15" s="381">
        <f t="shared" si="8"/>
        <v>0.2041199826559248</v>
      </c>
      <c r="Q15" s="380">
        <f t="shared" si="1"/>
        <v>35.08730227658192</v>
      </c>
      <c r="R15" s="381">
        <f t="shared" si="2"/>
        <v>29.184346859389116</v>
      </c>
      <c r="S15" s="381">
        <f t="shared" si="3"/>
        <v>32</v>
      </c>
      <c r="T15" s="380">
        <f t="shared" si="4"/>
        <v>10.526190682974578</v>
      </c>
      <c r="U15" s="381">
        <f t="shared" si="5"/>
        <v>8.755304057816735</v>
      </c>
      <c r="V15" s="381">
        <f t="shared" si="6"/>
        <v>9.6</v>
      </c>
      <c r="W15" s="391">
        <v>4</v>
      </c>
      <c r="X15" s="384">
        <v>4</v>
      </c>
      <c r="Y15" s="384">
        <v>3</v>
      </c>
      <c r="Z15" s="384">
        <v>3</v>
      </c>
      <c r="AA15" s="384">
        <f t="shared" si="9"/>
        <v>8</v>
      </c>
      <c r="AB15" s="385">
        <v>0</v>
      </c>
      <c r="AC15" s="386">
        <v>0</v>
      </c>
      <c r="AD15" s="385" t="s">
        <v>50</v>
      </c>
      <c r="AE15" s="392" t="s">
        <v>93</v>
      </c>
      <c r="AF15" s="349">
        <v>16</v>
      </c>
      <c r="AG15" s="366">
        <v>16</v>
      </c>
    </row>
    <row r="16" spans="1:33" s="389" customFormat="1" ht="11.25" thickBot="1">
      <c r="A16" s="393">
        <f>Demography!A15</f>
        <v>12</v>
      </c>
      <c r="B16" s="394">
        <v>37070</v>
      </c>
      <c r="C16" s="395">
        <f>IF('Visit 2'!B16="","",'Visit 2'!B16-B16)</f>
        <v>56</v>
      </c>
      <c r="D16" s="356">
        <v>21</v>
      </c>
      <c r="E16" s="395">
        <v>21</v>
      </c>
      <c r="F16" s="362">
        <v>40</v>
      </c>
      <c r="G16" s="362">
        <v>-2</v>
      </c>
      <c r="H16" s="362">
        <v>21</v>
      </c>
      <c r="I16" s="362">
        <v>50</v>
      </c>
      <c r="J16" s="362">
        <v>0</v>
      </c>
      <c r="K16" s="362">
        <v>21</v>
      </c>
      <c r="L16" s="362">
        <v>40</v>
      </c>
      <c r="M16" s="362">
        <v>2</v>
      </c>
      <c r="N16" s="396">
        <f>IF(F16="","",LOG10(((F16*D16)/E16)/20)-G16*(0.1/5))</f>
        <v>0.3410299956639812</v>
      </c>
      <c r="O16" s="397">
        <f>IF(I16="","",LOG10(((I16*D16)/H16)/20)-J16*(0.1/5))</f>
        <v>0.3979400086720376</v>
      </c>
      <c r="P16" s="397">
        <f>IF(L16="","",LOG10(((L16*D16)/K16)/20)-M16*(0.1/5))</f>
        <v>0.2610299956639812</v>
      </c>
      <c r="Q16" s="396">
        <f t="shared" si="1"/>
        <v>43.8591278457274</v>
      </c>
      <c r="R16" s="397">
        <f t="shared" si="2"/>
        <v>50</v>
      </c>
      <c r="S16" s="397">
        <f t="shared" si="3"/>
        <v>36.48043357423639</v>
      </c>
      <c r="T16" s="396">
        <f t="shared" si="4"/>
        <v>13.15773835371822</v>
      </c>
      <c r="U16" s="397">
        <f t="shared" si="5"/>
        <v>15</v>
      </c>
      <c r="V16" s="397">
        <f t="shared" si="6"/>
        <v>10.944130072270918</v>
      </c>
      <c r="W16" s="398">
        <v>2.5</v>
      </c>
      <c r="X16" s="399">
        <v>2.5</v>
      </c>
      <c r="Y16" s="399">
        <v>2.5</v>
      </c>
      <c r="Z16" s="399">
        <v>2.5</v>
      </c>
      <c r="AA16" s="399">
        <f>MAX(W16,Y16)+MAX(X16,Z16)</f>
        <v>5</v>
      </c>
      <c r="AB16" s="400">
        <v>-3.5</v>
      </c>
      <c r="AC16" s="401">
        <v>5</v>
      </c>
      <c r="AD16" s="400" t="s">
        <v>50</v>
      </c>
      <c r="AE16" s="402" t="s">
        <v>37</v>
      </c>
      <c r="AF16" s="403">
        <v>17</v>
      </c>
      <c r="AG16" s="368">
        <v>16</v>
      </c>
    </row>
    <row r="17" spans="2:33" s="139" customFormat="1" ht="10.5" customHeight="1">
      <c r="B17" s="140"/>
      <c r="C17" s="141"/>
      <c r="D17" s="142"/>
      <c r="E17" s="142"/>
      <c r="L17" s="167" t="s">
        <v>175</v>
      </c>
      <c r="M17" s="168"/>
      <c r="N17" s="404">
        <f aca="true" t="shared" si="10" ref="N17:AA17">AVERAGE(N5:N16)</f>
        <v>0.340568935634548</v>
      </c>
      <c r="O17" s="405">
        <f t="shared" si="10"/>
        <v>0.3154241627975553</v>
      </c>
      <c r="P17" s="405">
        <f t="shared" si="10"/>
        <v>0.25032471200238243</v>
      </c>
      <c r="Q17" s="406">
        <f t="shared" si="10"/>
        <v>47.18737049460419</v>
      </c>
      <c r="R17" s="407">
        <f t="shared" si="10"/>
        <v>46.01191643581922</v>
      </c>
      <c r="S17" s="407">
        <f t="shared" si="10"/>
        <v>39.34655481752924</v>
      </c>
      <c r="T17" s="408">
        <f t="shared" si="10"/>
        <v>14.15621114838126</v>
      </c>
      <c r="U17" s="409">
        <f t="shared" si="10"/>
        <v>13.803574930745766</v>
      </c>
      <c r="V17" s="410">
        <f t="shared" si="10"/>
        <v>11.803966445258773</v>
      </c>
      <c r="W17" s="405">
        <f t="shared" si="10"/>
        <v>5.291666666666667</v>
      </c>
      <c r="X17" s="405">
        <f t="shared" si="10"/>
        <v>4.416666666666667</v>
      </c>
      <c r="Y17" s="405">
        <f t="shared" si="10"/>
        <v>5</v>
      </c>
      <c r="Z17" s="405">
        <f t="shared" si="10"/>
        <v>5.583333333333333</v>
      </c>
      <c r="AA17" s="411">
        <f t="shared" si="10"/>
        <v>11.833333333333334</v>
      </c>
      <c r="AB17" s="145"/>
      <c r="AC17" s="145"/>
      <c r="AE17" s="338" t="s">
        <v>239</v>
      </c>
      <c r="AF17" s="432"/>
      <c r="AG17" s="433"/>
    </row>
    <row r="18" spans="2:253" s="32" customFormat="1" ht="11.25" thickBot="1">
      <c r="B18" s="146"/>
      <c r="C18" s="147"/>
      <c r="D18" s="148"/>
      <c r="E18" s="148"/>
      <c r="K18" s="139"/>
      <c r="L18" s="167" t="s">
        <v>174</v>
      </c>
      <c r="M18" s="168"/>
      <c r="N18" s="404">
        <f aca="true" t="shared" si="11" ref="N18:AA18">STDEV(N5:N16)</f>
        <v>0.1711009327712179</v>
      </c>
      <c r="O18" s="405">
        <f t="shared" si="11"/>
        <v>0.20767987431124393</v>
      </c>
      <c r="P18" s="405">
        <f t="shared" si="11"/>
        <v>0.19257789382971482</v>
      </c>
      <c r="Q18" s="412">
        <f t="shared" si="11"/>
        <v>20.446801198429327</v>
      </c>
      <c r="R18" s="407">
        <f t="shared" si="11"/>
        <v>23.133392520574162</v>
      </c>
      <c r="S18" s="407">
        <f t="shared" si="11"/>
        <v>21.351958856379476</v>
      </c>
      <c r="T18" s="413">
        <f t="shared" si="11"/>
        <v>6.134040359528787</v>
      </c>
      <c r="U18" s="405">
        <f t="shared" si="11"/>
        <v>6.940017756172245</v>
      </c>
      <c r="V18" s="414">
        <f t="shared" si="11"/>
        <v>6.4055876569138395</v>
      </c>
      <c r="W18" s="405">
        <f t="shared" si="11"/>
        <v>2.580154446868825</v>
      </c>
      <c r="X18" s="405">
        <f t="shared" si="11"/>
        <v>1.9866981897031304</v>
      </c>
      <c r="Y18" s="405">
        <f t="shared" si="11"/>
        <v>2.4954504056928735</v>
      </c>
      <c r="Z18" s="405">
        <f t="shared" si="11"/>
        <v>2.4848022907753498</v>
      </c>
      <c r="AA18" s="415">
        <f t="shared" si="11"/>
        <v>5.11829753892539</v>
      </c>
      <c r="AB18" s="149"/>
      <c r="AC18" s="149"/>
      <c r="AE18" s="150"/>
      <c r="AF18" s="151" t="s">
        <v>161</v>
      </c>
      <c r="AG18" s="166" t="s">
        <v>162</v>
      </c>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c r="DT18" s="139"/>
      <c r="DU18" s="139"/>
      <c r="DV18" s="139"/>
      <c r="DW18" s="139"/>
      <c r="DX18" s="139"/>
      <c r="DY18" s="139"/>
      <c r="DZ18" s="139"/>
      <c r="EA18" s="139"/>
      <c r="EB18" s="139"/>
      <c r="EC18" s="139"/>
      <c r="ED18" s="139"/>
      <c r="EE18" s="139"/>
      <c r="EF18" s="139"/>
      <c r="EG18" s="139"/>
      <c r="EH18" s="139"/>
      <c r="EI18" s="139"/>
      <c r="EJ18" s="139"/>
      <c r="EK18" s="139"/>
      <c r="EL18" s="139"/>
      <c r="EM18" s="139"/>
      <c r="EN18" s="139"/>
      <c r="EO18" s="139"/>
      <c r="EP18" s="139"/>
      <c r="EQ18" s="139"/>
      <c r="ER18" s="139"/>
      <c r="ES18" s="139"/>
      <c r="ET18" s="139"/>
      <c r="EU18" s="139"/>
      <c r="EV18" s="139"/>
      <c r="EW18" s="139"/>
      <c r="EX18" s="139"/>
      <c r="EY18" s="139"/>
      <c r="EZ18" s="139"/>
      <c r="FA18" s="139"/>
      <c r="FB18" s="139"/>
      <c r="FC18" s="139"/>
      <c r="FD18" s="139"/>
      <c r="FE18" s="139"/>
      <c r="FF18" s="139"/>
      <c r="FG18" s="139"/>
      <c r="FH18" s="139"/>
      <c r="FI18" s="139"/>
      <c r="FJ18" s="139"/>
      <c r="FK18" s="139"/>
      <c r="FL18" s="139"/>
      <c r="FM18" s="139"/>
      <c r="FN18" s="139"/>
      <c r="FO18" s="139"/>
      <c r="FP18" s="139"/>
      <c r="FQ18" s="139"/>
      <c r="FR18" s="139"/>
      <c r="FS18" s="139"/>
      <c r="FT18" s="139"/>
      <c r="FU18" s="139"/>
      <c r="FV18" s="139"/>
      <c r="FW18" s="139"/>
      <c r="FX18" s="139"/>
      <c r="FY18" s="139"/>
      <c r="FZ18" s="139"/>
      <c r="GA18" s="139"/>
      <c r="GB18" s="139"/>
      <c r="GC18" s="139"/>
      <c r="GD18" s="139"/>
      <c r="GE18" s="139"/>
      <c r="GF18" s="139"/>
      <c r="GG18" s="139"/>
      <c r="GH18" s="139"/>
      <c r="GI18" s="139"/>
      <c r="GJ18" s="139"/>
      <c r="GK18" s="139"/>
      <c r="GL18" s="139"/>
      <c r="GM18" s="139"/>
      <c r="GN18" s="139"/>
      <c r="GO18" s="139"/>
      <c r="GP18" s="139"/>
      <c r="GQ18" s="139"/>
      <c r="GR18" s="139"/>
      <c r="GS18" s="139"/>
      <c r="GT18" s="139"/>
      <c r="GU18" s="139"/>
      <c r="GV18" s="139"/>
      <c r="GW18" s="139"/>
      <c r="GX18" s="139"/>
      <c r="GY18" s="139"/>
      <c r="GZ18" s="139"/>
      <c r="HA18" s="139"/>
      <c r="HB18" s="139"/>
      <c r="HC18" s="139"/>
      <c r="HD18" s="139"/>
      <c r="HE18" s="139"/>
      <c r="HF18" s="139"/>
      <c r="HG18" s="139"/>
      <c r="HH18" s="139"/>
      <c r="HI18" s="139"/>
      <c r="HJ18" s="139"/>
      <c r="HK18" s="139"/>
      <c r="HL18" s="139"/>
      <c r="HM18" s="139"/>
      <c r="HN18" s="139"/>
      <c r="HO18" s="139"/>
      <c r="HP18" s="139"/>
      <c r="HQ18" s="139"/>
      <c r="HR18" s="139"/>
      <c r="HS18" s="139"/>
      <c r="HT18" s="139"/>
      <c r="HU18" s="139"/>
      <c r="HV18" s="139"/>
      <c r="HW18" s="139"/>
      <c r="HX18" s="139"/>
      <c r="HY18" s="139"/>
      <c r="HZ18" s="139"/>
      <c r="IA18" s="139"/>
      <c r="IB18" s="139"/>
      <c r="IC18" s="139"/>
      <c r="ID18" s="139"/>
      <c r="IE18" s="139"/>
      <c r="IF18" s="139"/>
      <c r="IG18" s="139"/>
      <c r="IH18" s="139"/>
      <c r="II18" s="139"/>
      <c r="IJ18" s="139"/>
      <c r="IK18" s="139"/>
      <c r="IL18" s="139"/>
      <c r="IM18" s="139"/>
      <c r="IN18" s="139"/>
      <c r="IO18" s="139"/>
      <c r="IP18" s="139"/>
      <c r="IQ18" s="139"/>
      <c r="IR18" s="139"/>
      <c r="IS18" s="139"/>
    </row>
    <row r="19" spans="2:253" s="32" customFormat="1" ht="10.5">
      <c r="B19" s="146"/>
      <c r="C19" s="152"/>
      <c r="D19" s="153"/>
      <c r="E19" s="153"/>
      <c r="K19" s="139"/>
      <c r="L19" s="167" t="s">
        <v>120</v>
      </c>
      <c r="M19" s="168"/>
      <c r="N19" s="404">
        <f aca="true" t="shared" si="12" ref="N19:AA19">MEDIAN(N5:N16)</f>
        <v>0.3345033904792878</v>
      </c>
      <c r="O19" s="405">
        <f t="shared" si="12"/>
        <v>0.2718487496163564</v>
      </c>
      <c r="P19" s="405">
        <f t="shared" si="12"/>
        <v>0.232574989159953</v>
      </c>
      <c r="Q19" s="412">
        <f t="shared" si="12"/>
        <v>43.20981684116826</v>
      </c>
      <c r="R19" s="407">
        <f t="shared" si="12"/>
        <v>37.410530294001134</v>
      </c>
      <c r="S19" s="407">
        <f t="shared" si="12"/>
        <v>34.2402167871182</v>
      </c>
      <c r="T19" s="413">
        <f t="shared" si="12"/>
        <v>12.962945052350477</v>
      </c>
      <c r="U19" s="405">
        <f t="shared" si="12"/>
        <v>11.22315908820034</v>
      </c>
      <c r="V19" s="414">
        <f t="shared" si="12"/>
        <v>10.272065036135459</v>
      </c>
      <c r="W19" s="405">
        <f t="shared" si="12"/>
        <v>4.25</v>
      </c>
      <c r="X19" s="405">
        <f t="shared" si="12"/>
        <v>3.75</v>
      </c>
      <c r="Y19" s="405">
        <f t="shared" si="12"/>
        <v>4</v>
      </c>
      <c r="Z19" s="405">
        <f t="shared" si="12"/>
        <v>4.75</v>
      </c>
      <c r="AA19" s="416">
        <f t="shared" si="12"/>
        <v>9.75</v>
      </c>
      <c r="AB19" s="149"/>
      <c r="AC19" s="149"/>
      <c r="AE19" s="426" t="s">
        <v>159</v>
      </c>
      <c r="AF19" s="427">
        <f>MIN(AF5:AF16)</f>
        <v>11</v>
      </c>
      <c r="AG19" s="428">
        <f>MIN(AG5:AG16)</f>
        <v>16</v>
      </c>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c r="EZ19" s="139"/>
      <c r="FA19" s="139"/>
      <c r="FB19" s="139"/>
      <c r="FC19" s="139"/>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c r="GT19" s="139"/>
      <c r="GU19" s="139"/>
      <c r="GV19" s="139"/>
      <c r="GW19" s="139"/>
      <c r="GX19" s="139"/>
      <c r="GY19" s="139"/>
      <c r="GZ19" s="139"/>
      <c r="HA19" s="139"/>
      <c r="HB19" s="139"/>
      <c r="HC19" s="139"/>
      <c r="HD19" s="139"/>
      <c r="HE19" s="139"/>
      <c r="HF19" s="139"/>
      <c r="HG19" s="139"/>
      <c r="HH19" s="139"/>
      <c r="HI19" s="139"/>
      <c r="HJ19" s="139"/>
      <c r="HK19" s="139"/>
      <c r="HL19" s="139"/>
      <c r="HM19" s="139"/>
      <c r="HN19" s="139"/>
      <c r="HO19" s="139"/>
      <c r="HP19" s="139"/>
      <c r="HQ19" s="139"/>
      <c r="HR19" s="139"/>
      <c r="HS19" s="139"/>
      <c r="HT19" s="139"/>
      <c r="HU19" s="139"/>
      <c r="HV19" s="139"/>
      <c r="HW19" s="139"/>
      <c r="HX19" s="139"/>
      <c r="HY19" s="139"/>
      <c r="HZ19" s="139"/>
      <c r="IA19" s="139"/>
      <c r="IB19" s="139"/>
      <c r="IC19" s="139"/>
      <c r="ID19" s="139"/>
      <c r="IE19" s="139"/>
      <c r="IF19" s="139"/>
      <c r="IG19" s="139"/>
      <c r="IH19" s="139"/>
      <c r="II19" s="139"/>
      <c r="IJ19" s="139"/>
      <c r="IK19" s="139"/>
      <c r="IL19" s="139"/>
      <c r="IM19" s="139"/>
      <c r="IN19" s="139"/>
      <c r="IO19" s="139"/>
      <c r="IP19" s="139"/>
      <c r="IQ19" s="139"/>
      <c r="IR19" s="139"/>
      <c r="IS19" s="139"/>
    </row>
    <row r="20" spans="3:33" s="32" customFormat="1" ht="11.25" thickBot="1">
      <c r="C20" s="154"/>
      <c r="D20" s="80"/>
      <c r="E20" s="80"/>
      <c r="K20" s="139"/>
      <c r="L20" s="167" t="s">
        <v>118</v>
      </c>
      <c r="M20" s="168"/>
      <c r="N20" s="404">
        <f aca="true" t="shared" si="13" ref="N20:AA20">MIN(N5:N16)</f>
        <v>0.08493873660830001</v>
      </c>
      <c r="O20" s="405">
        <f t="shared" si="13"/>
        <v>-0.02</v>
      </c>
      <c r="P20" s="405">
        <f t="shared" si="13"/>
        <v>-0.04</v>
      </c>
      <c r="Q20" s="412">
        <f t="shared" si="13"/>
        <v>24.320289049490928</v>
      </c>
      <c r="R20" s="407">
        <f t="shared" si="13"/>
        <v>19.099851720428717</v>
      </c>
      <c r="S20" s="407">
        <f t="shared" si="13"/>
        <v>18.240216787118193</v>
      </c>
      <c r="T20" s="408">
        <f t="shared" si="13"/>
        <v>7.296086714847278</v>
      </c>
      <c r="U20" s="409">
        <f t="shared" si="13"/>
        <v>5.729955516128615</v>
      </c>
      <c r="V20" s="414">
        <f t="shared" si="13"/>
        <v>5.472065036135458</v>
      </c>
      <c r="W20" s="405">
        <f t="shared" si="13"/>
        <v>2.5</v>
      </c>
      <c r="X20" s="405">
        <f t="shared" si="13"/>
        <v>1.5</v>
      </c>
      <c r="Y20" s="405">
        <f t="shared" si="13"/>
        <v>2.5</v>
      </c>
      <c r="Z20" s="405">
        <f t="shared" si="13"/>
        <v>2.5</v>
      </c>
      <c r="AA20" s="417">
        <f t="shared" si="13"/>
        <v>5</v>
      </c>
      <c r="AE20" s="429" t="s">
        <v>160</v>
      </c>
      <c r="AF20" s="430">
        <f>MAX(AF5:AF16)</f>
        <v>44</v>
      </c>
      <c r="AG20" s="431">
        <f>MAX(AG5:AG16)</f>
        <v>34</v>
      </c>
    </row>
    <row r="21" spans="3:35" s="32" customFormat="1" ht="11.25" thickBot="1">
      <c r="C21" s="154"/>
      <c r="D21" s="155"/>
      <c r="E21" s="132"/>
      <c r="F21" s="156"/>
      <c r="G21" s="156"/>
      <c r="H21" s="156"/>
      <c r="I21" s="156"/>
      <c r="J21" s="156"/>
      <c r="K21" s="107"/>
      <c r="L21" s="173" t="s">
        <v>119</v>
      </c>
      <c r="M21" s="174"/>
      <c r="N21" s="418">
        <f aca="true" t="shared" si="14" ref="N21:AA21">MAX(N5:N16)</f>
        <v>0.6989700043360189</v>
      </c>
      <c r="O21" s="419">
        <f t="shared" si="14"/>
        <v>0.6989700043360189</v>
      </c>
      <c r="P21" s="419">
        <f t="shared" si="14"/>
        <v>0.6989700043360189</v>
      </c>
      <c r="Q21" s="420">
        <f t="shared" si="14"/>
        <v>100.00000000000003</v>
      </c>
      <c r="R21" s="421">
        <f t="shared" si="14"/>
        <v>100.00000000000003</v>
      </c>
      <c r="S21" s="421">
        <f t="shared" si="14"/>
        <v>100.00000000000003</v>
      </c>
      <c r="T21" s="422">
        <f t="shared" si="14"/>
        <v>30.000000000000007</v>
      </c>
      <c r="U21" s="423">
        <f t="shared" si="14"/>
        <v>30.000000000000007</v>
      </c>
      <c r="V21" s="424">
        <f t="shared" si="14"/>
        <v>30.000000000000007</v>
      </c>
      <c r="W21" s="419">
        <f t="shared" si="14"/>
        <v>11.5</v>
      </c>
      <c r="X21" s="419">
        <f t="shared" si="14"/>
        <v>8</v>
      </c>
      <c r="Y21" s="419">
        <f t="shared" si="14"/>
        <v>9</v>
      </c>
      <c r="Z21" s="419">
        <f t="shared" si="14"/>
        <v>10</v>
      </c>
      <c r="AA21" s="425">
        <f t="shared" si="14"/>
        <v>21.5</v>
      </c>
      <c r="AH21" s="139"/>
      <c r="AI21" s="139"/>
    </row>
    <row r="22" spans="16:35" ht="10.5">
      <c r="P22" s="27"/>
      <c r="Q22" s="27"/>
      <c r="R22" s="27"/>
      <c r="S22" s="27"/>
      <c r="W22" s="11"/>
      <c r="X22" s="11"/>
      <c r="Y22" s="11"/>
      <c r="Z22" s="11"/>
      <c r="AA22" s="49"/>
      <c r="AF22" s="6"/>
      <c r="AH22" s="24"/>
      <c r="AI22" s="24"/>
    </row>
    <row r="23" spans="3:32" ht="10.5">
      <c r="C23" s="57"/>
      <c r="D23" s="57"/>
      <c r="E23" s="57"/>
      <c r="N23" s="11"/>
      <c r="O23" s="11"/>
      <c r="P23" s="11"/>
      <c r="Q23" s="11"/>
      <c r="R23" s="11"/>
      <c r="S23" s="11"/>
      <c r="Z23" s="11"/>
      <c r="AA23" s="11"/>
      <c r="AB23" s="11"/>
      <c r="AC23" s="11"/>
      <c r="AD23" s="11"/>
      <c r="AF23" s="6"/>
    </row>
    <row r="24" spans="1:32" ht="10.5">
      <c r="A24" s="11"/>
      <c r="C24" s="56"/>
      <c r="D24" s="56"/>
      <c r="E24" s="56"/>
      <c r="Z24" s="11"/>
      <c r="AA24" s="11"/>
      <c r="AB24" s="11"/>
      <c r="AC24" s="11"/>
      <c r="AD24" s="11"/>
      <c r="AF24" s="6"/>
    </row>
    <row r="25" spans="1:30" ht="10.5">
      <c r="A25" s="11"/>
      <c r="C25" s="56"/>
      <c r="D25" s="56"/>
      <c r="E25" s="56"/>
      <c r="Z25" s="11"/>
      <c r="AA25" s="11"/>
      <c r="AB25" s="11"/>
      <c r="AC25" s="11"/>
      <c r="AD25" s="11"/>
    </row>
    <row r="26" spans="3:30" ht="10.5">
      <c r="C26" s="51"/>
      <c r="D26" s="51"/>
      <c r="E26" s="51"/>
      <c r="Z26" s="11"/>
      <c r="AA26" s="11"/>
      <c r="AB26" s="11"/>
      <c r="AC26" s="11"/>
      <c r="AD26" s="11"/>
    </row>
    <row r="27" spans="1:23" ht="10.5">
      <c r="A27" s="11"/>
      <c r="C27" s="51"/>
      <c r="D27" s="51"/>
      <c r="E27" s="51"/>
      <c r="W27" s="6" t="s">
        <v>106</v>
      </c>
    </row>
    <row r="28" spans="1:5" ht="10.5">
      <c r="A28" s="11"/>
      <c r="C28" s="51"/>
      <c r="D28" s="51"/>
      <c r="E28" s="51"/>
    </row>
  </sheetData>
  <mergeCells count="51">
    <mergeCell ref="B1:C1"/>
    <mergeCell ref="AE17:AG17"/>
    <mergeCell ref="AD1:AG1"/>
    <mergeCell ref="AF2:AG2"/>
    <mergeCell ref="AB1:AC1"/>
    <mergeCell ref="AD2:AD4"/>
    <mergeCell ref="AE2:AE4"/>
    <mergeCell ref="AF3:AF4"/>
    <mergeCell ref="AG3:AG4"/>
    <mergeCell ref="AC2:AC4"/>
    <mergeCell ref="D1:M2"/>
    <mergeCell ref="M3:M4"/>
    <mergeCell ref="J3:J4"/>
    <mergeCell ref="AB2:AB4"/>
    <mergeCell ref="W3:W4"/>
    <mergeCell ref="X3:X4"/>
    <mergeCell ref="Y3:Y4"/>
    <mergeCell ref="Z3:Z4"/>
    <mergeCell ref="H3:H4"/>
    <mergeCell ref="I3:I4"/>
    <mergeCell ref="T3:T4"/>
    <mergeCell ref="L3:L4"/>
    <mergeCell ref="U3:U4"/>
    <mergeCell ref="A1:A2"/>
    <mergeCell ref="C2:C4"/>
    <mergeCell ref="D3:D4"/>
    <mergeCell ref="A3:A4"/>
    <mergeCell ref="N1:P2"/>
    <mergeCell ref="T1:V2"/>
    <mergeCell ref="F3:F4"/>
    <mergeCell ref="V3:V4"/>
    <mergeCell ref="G3:G4"/>
    <mergeCell ref="B2:B4"/>
    <mergeCell ref="W1:AA1"/>
    <mergeCell ref="W2:X2"/>
    <mergeCell ref="Y2:Z2"/>
    <mergeCell ref="AA2:AA4"/>
    <mergeCell ref="N3:N4"/>
    <mergeCell ref="O3:O4"/>
    <mergeCell ref="P3:P4"/>
    <mergeCell ref="K3:K4"/>
    <mergeCell ref="E3:E4"/>
    <mergeCell ref="L21:M21"/>
    <mergeCell ref="L17:M17"/>
    <mergeCell ref="L18:M18"/>
    <mergeCell ref="L19:M19"/>
    <mergeCell ref="L20:M20"/>
    <mergeCell ref="Q1:S2"/>
    <mergeCell ref="Q3:Q4"/>
    <mergeCell ref="R3:R4"/>
    <mergeCell ref="S3:S4"/>
  </mergeCells>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HU25"/>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D9" sqref="D9"/>
    </sheetView>
  </sheetViews>
  <sheetFormatPr defaultColWidth="9.140625" defaultRowHeight="12"/>
  <cols>
    <col min="1" max="1" width="21.28125" style="6" customWidth="1"/>
    <col min="2" max="2" width="14.28125" style="6" customWidth="1"/>
    <col min="3" max="3" width="12.28125" style="6" customWidth="1"/>
    <col min="4" max="4" width="12.00390625" style="6" customWidth="1"/>
    <col min="5" max="5" width="12.421875" style="6" customWidth="1"/>
    <col min="6" max="6" width="15.8515625" style="6" customWidth="1"/>
    <col min="7" max="7" width="17.421875" style="6" customWidth="1"/>
    <col min="8" max="8" width="13.28125" style="6" customWidth="1"/>
    <col min="9" max="9" width="14.421875" style="6" customWidth="1"/>
    <col min="10" max="10" width="13.7109375" style="6" customWidth="1"/>
    <col min="11" max="11" width="12.8515625" style="6" customWidth="1"/>
    <col min="12" max="12" width="17.28125" style="6" customWidth="1"/>
    <col min="13" max="13" width="16.421875" style="6" customWidth="1"/>
    <col min="14" max="14" width="14.00390625" style="6" customWidth="1"/>
    <col min="15" max="15" width="13.140625" style="6" customWidth="1"/>
    <col min="16" max="16" width="13.7109375" style="6" customWidth="1"/>
    <col min="17" max="17" width="20.00390625" style="6" customWidth="1"/>
    <col min="18" max="18" width="16.28125" style="6" customWidth="1"/>
    <col min="19" max="19" width="14.140625" style="6" customWidth="1"/>
    <col min="20" max="20" width="15.7109375" style="6" customWidth="1"/>
    <col min="21" max="21" width="14.00390625" style="6" customWidth="1"/>
    <col min="22" max="22" width="13.28125" style="6" customWidth="1"/>
    <col min="23" max="23" width="12.7109375" style="6" customWidth="1"/>
    <col min="24" max="24" width="14.00390625" style="6" customWidth="1"/>
    <col min="25" max="25" width="14.8515625" style="6" customWidth="1"/>
    <col min="26" max="27" width="12.00390625" style="6" customWidth="1"/>
    <col min="28" max="28" width="13.28125" style="6" customWidth="1"/>
    <col min="29" max="29" width="13.421875" style="6" customWidth="1"/>
    <col min="30" max="30" width="19.8515625" style="6" customWidth="1"/>
    <col min="31" max="35" width="20.8515625" style="6" customWidth="1"/>
    <col min="36" max="36" width="15.421875" style="6" customWidth="1"/>
    <col min="37" max="38" width="12.00390625" style="6" customWidth="1"/>
    <col min="39" max="39" width="14.140625" style="6" customWidth="1"/>
    <col min="40" max="40" width="19.00390625" style="6" customWidth="1"/>
    <col min="41" max="41" width="16.140625" style="6" customWidth="1"/>
    <col min="42" max="44" width="12.00390625" style="6" customWidth="1"/>
    <col min="45" max="45" width="15.8515625" style="6" customWidth="1"/>
    <col min="46" max="46" width="12.00390625" style="6" customWidth="1"/>
    <col min="47" max="47" width="18.8515625" style="6" customWidth="1"/>
    <col min="48" max="16384" width="12.00390625" style="6" customWidth="1"/>
  </cols>
  <sheetData>
    <row r="1" spans="1:229" s="26" customFormat="1" ht="48.75" customHeight="1">
      <c r="A1" s="436" t="s">
        <v>111</v>
      </c>
      <c r="B1" s="468" t="s">
        <v>256</v>
      </c>
      <c r="C1" s="469"/>
      <c r="D1" s="469"/>
      <c r="E1" s="469"/>
      <c r="F1" s="469"/>
      <c r="G1" s="469"/>
      <c r="H1" s="469"/>
      <c r="I1" s="469"/>
      <c r="J1" s="469"/>
      <c r="K1" s="469"/>
      <c r="L1" s="469"/>
      <c r="M1" s="469"/>
      <c r="N1" s="469"/>
      <c r="O1" s="469"/>
      <c r="P1" s="469"/>
      <c r="Q1" s="469"/>
      <c r="R1" s="469"/>
      <c r="S1" s="469"/>
      <c r="T1" s="469"/>
      <c r="U1" s="458"/>
      <c r="V1" s="458"/>
      <c r="W1" s="458"/>
      <c r="X1" s="470"/>
      <c r="Y1"/>
      <c r="Z1"/>
      <c r="AA1"/>
      <c r="AB1"/>
      <c r="AC1"/>
      <c r="AD1"/>
      <c r="AE1"/>
      <c r="AF1"/>
      <c r="AG1"/>
      <c r="AH1"/>
      <c r="AI1"/>
      <c r="AJ1"/>
      <c r="AK1"/>
      <c r="AL1"/>
      <c r="AM1"/>
      <c r="AN1"/>
      <c r="AO1"/>
      <c r="AP1"/>
      <c r="AQ1"/>
      <c r="AR1"/>
      <c r="AS1"/>
      <c r="AT1"/>
      <c r="AU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row>
    <row r="2" spans="1:229" s="21" customFormat="1" ht="39.75" customHeight="1">
      <c r="A2" s="437"/>
      <c r="B2" s="179" t="s">
        <v>41</v>
      </c>
      <c r="C2" s="272" t="s">
        <v>185</v>
      </c>
      <c r="D2" s="460"/>
      <c r="E2" s="461"/>
      <c r="F2" s="462" t="s">
        <v>242</v>
      </c>
      <c r="G2" s="462" t="s">
        <v>243</v>
      </c>
      <c r="H2" s="272" t="s">
        <v>244</v>
      </c>
      <c r="I2" s="463"/>
      <c r="J2" s="252" t="s">
        <v>245</v>
      </c>
      <c r="K2" s="464"/>
      <c r="L2" s="41" t="s">
        <v>211</v>
      </c>
      <c r="M2" s="82" t="s">
        <v>186</v>
      </c>
      <c r="N2" s="465" t="s">
        <v>246</v>
      </c>
      <c r="O2" s="465"/>
      <c r="P2" s="465"/>
      <c r="Q2" s="465"/>
      <c r="R2" s="465"/>
      <c r="S2" s="465"/>
      <c r="T2" s="463"/>
      <c r="U2" s="466" t="s">
        <v>79</v>
      </c>
      <c r="V2" s="467"/>
      <c r="W2" s="467"/>
      <c r="X2" s="471"/>
      <c r="Y2" s="4"/>
      <c r="Z2" s="4"/>
      <c r="AA2" s="4"/>
      <c r="AB2" s="4"/>
      <c r="AC2" s="4"/>
      <c r="AD2" s="4"/>
      <c r="AE2" s="4"/>
      <c r="AF2" s="4"/>
      <c r="AG2" s="4"/>
      <c r="AH2" s="4"/>
      <c r="AI2" s="4"/>
      <c r="AJ2" s="4"/>
      <c r="AK2" s="4"/>
      <c r="AL2" s="4"/>
      <c r="AM2" s="4"/>
      <c r="AN2" s="4"/>
      <c r="AO2" s="4"/>
      <c r="AP2" s="4"/>
      <c r="AQ2" s="4"/>
      <c r="AR2" s="4"/>
      <c r="AS2" s="4"/>
      <c r="AT2" s="4"/>
      <c r="AU2" s="4"/>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row>
    <row r="3" spans="1:47" s="446" customFormat="1" ht="62.25" customHeight="1">
      <c r="A3" s="443" t="s">
        <v>234</v>
      </c>
      <c r="B3" s="444" t="s">
        <v>121</v>
      </c>
      <c r="C3" s="444" t="s">
        <v>122</v>
      </c>
      <c r="D3" s="444" t="s">
        <v>123</v>
      </c>
      <c r="E3" s="444" t="s">
        <v>124</v>
      </c>
      <c r="F3" s="444" t="s">
        <v>125</v>
      </c>
      <c r="G3" s="444" t="s">
        <v>240</v>
      </c>
      <c r="H3" s="444" t="s">
        <v>209</v>
      </c>
      <c r="I3" s="444" t="s">
        <v>210</v>
      </c>
      <c r="J3" s="444" t="s">
        <v>212</v>
      </c>
      <c r="K3" s="444" t="s">
        <v>213</v>
      </c>
      <c r="L3" s="444" t="s">
        <v>214</v>
      </c>
      <c r="M3" s="444" t="s">
        <v>126</v>
      </c>
      <c r="N3" s="444" t="s">
        <v>127</v>
      </c>
      <c r="O3" s="444" t="s">
        <v>128</v>
      </c>
      <c r="P3" s="444" t="s">
        <v>129</v>
      </c>
      <c r="Q3" s="444" t="s">
        <v>130</v>
      </c>
      <c r="R3" s="444" t="s">
        <v>131</v>
      </c>
      <c r="S3" s="444" t="s">
        <v>132</v>
      </c>
      <c r="T3" s="444" t="s">
        <v>133</v>
      </c>
      <c r="U3" s="444" t="s">
        <v>134</v>
      </c>
      <c r="V3" s="444" t="s">
        <v>135</v>
      </c>
      <c r="W3" s="444" t="s">
        <v>136</v>
      </c>
      <c r="X3" s="472" t="s">
        <v>137</v>
      </c>
      <c r="Y3" s="445"/>
      <c r="Z3" s="445"/>
      <c r="AA3" s="445"/>
      <c r="AB3" s="445"/>
      <c r="AC3" s="445"/>
      <c r="AD3" s="445"/>
      <c r="AE3" s="445"/>
      <c r="AF3" s="445"/>
      <c r="AG3" s="445"/>
      <c r="AH3" s="445"/>
      <c r="AI3" s="445"/>
      <c r="AJ3" s="445"/>
      <c r="AK3" s="445"/>
      <c r="AL3" s="445"/>
      <c r="AM3" s="445"/>
      <c r="AN3" s="445"/>
      <c r="AO3" s="445"/>
      <c r="AP3" s="445"/>
      <c r="AQ3" s="445"/>
      <c r="AR3" s="445"/>
      <c r="AS3" s="445"/>
      <c r="AT3" s="445"/>
      <c r="AU3" s="445"/>
    </row>
    <row r="4" spans="1:47" s="448" customFormat="1" ht="10.5" customHeight="1">
      <c r="A4" s="377">
        <f>Demography!A4</f>
        <v>1</v>
      </c>
      <c r="B4" s="350">
        <v>5</v>
      </c>
      <c r="C4" s="350">
        <v>3</v>
      </c>
      <c r="D4" s="350">
        <v>4</v>
      </c>
      <c r="E4" s="350">
        <v>4</v>
      </c>
      <c r="F4" s="350">
        <v>4</v>
      </c>
      <c r="G4" s="350">
        <v>4</v>
      </c>
      <c r="H4" s="350">
        <v>4</v>
      </c>
      <c r="I4" s="350">
        <v>5</v>
      </c>
      <c r="J4" s="350">
        <v>4</v>
      </c>
      <c r="K4" s="350">
        <v>4</v>
      </c>
      <c r="L4" s="350">
        <v>4</v>
      </c>
      <c r="M4" s="350">
        <v>3</v>
      </c>
      <c r="N4" s="350">
        <v>3</v>
      </c>
      <c r="O4" s="350">
        <v>2</v>
      </c>
      <c r="P4" s="350">
        <v>4</v>
      </c>
      <c r="Q4" s="350">
        <v>3</v>
      </c>
      <c r="R4" s="350">
        <v>1</v>
      </c>
      <c r="S4" s="350">
        <v>2</v>
      </c>
      <c r="T4" s="350">
        <v>4</v>
      </c>
      <c r="U4" s="350">
        <v>4</v>
      </c>
      <c r="V4" s="350">
        <v>3</v>
      </c>
      <c r="W4" s="350">
        <v>2</v>
      </c>
      <c r="X4" s="351">
        <v>4</v>
      </c>
      <c r="Y4" s="447"/>
      <c r="Z4" s="447"/>
      <c r="AA4" s="447"/>
      <c r="AB4" s="447"/>
      <c r="AC4" s="447"/>
      <c r="AD4" s="447"/>
      <c r="AE4" s="447"/>
      <c r="AF4" s="447"/>
      <c r="AG4" s="447"/>
      <c r="AH4" s="447"/>
      <c r="AI4" s="447"/>
      <c r="AJ4" s="447"/>
      <c r="AK4" s="447"/>
      <c r="AL4" s="447"/>
      <c r="AM4" s="447"/>
      <c r="AN4" s="447"/>
      <c r="AO4" s="447"/>
      <c r="AP4" s="447"/>
      <c r="AQ4" s="447"/>
      <c r="AR4" s="447"/>
      <c r="AS4" s="447"/>
      <c r="AT4" s="447"/>
      <c r="AU4" s="447"/>
    </row>
    <row r="5" spans="1:47" s="448" customFormat="1" ht="10.5">
      <c r="A5" s="377">
        <f>Demography!A5</f>
        <v>2</v>
      </c>
      <c r="B5" s="350">
        <v>5</v>
      </c>
      <c r="C5" s="350">
        <v>3</v>
      </c>
      <c r="D5" s="350">
        <v>4</v>
      </c>
      <c r="E5" s="350">
        <v>3</v>
      </c>
      <c r="F5" s="350">
        <v>5</v>
      </c>
      <c r="G5" s="350">
        <v>3</v>
      </c>
      <c r="H5" s="350">
        <v>4</v>
      </c>
      <c r="I5" s="350">
        <v>5</v>
      </c>
      <c r="J5" s="350">
        <v>4</v>
      </c>
      <c r="K5" s="350">
        <v>5</v>
      </c>
      <c r="L5" s="350">
        <v>4</v>
      </c>
      <c r="M5" s="350">
        <v>4</v>
      </c>
      <c r="N5" s="350">
        <v>4</v>
      </c>
      <c r="O5" s="350">
        <v>4</v>
      </c>
      <c r="P5" s="350">
        <v>4</v>
      </c>
      <c r="Q5" s="350">
        <v>4</v>
      </c>
      <c r="R5" s="350">
        <v>4</v>
      </c>
      <c r="S5" s="350">
        <v>5</v>
      </c>
      <c r="T5" s="350">
        <v>5</v>
      </c>
      <c r="U5" s="350">
        <v>3</v>
      </c>
      <c r="V5" s="350">
        <v>4</v>
      </c>
      <c r="W5" s="350">
        <v>4</v>
      </c>
      <c r="X5" s="351">
        <v>3</v>
      </c>
      <c r="Y5" s="447"/>
      <c r="Z5" s="447"/>
      <c r="AA5" s="447"/>
      <c r="AB5" s="447"/>
      <c r="AC5" s="447"/>
      <c r="AD5" s="447"/>
      <c r="AE5" s="447"/>
      <c r="AF5" s="447"/>
      <c r="AG5" s="447"/>
      <c r="AH5" s="447"/>
      <c r="AI5" s="447"/>
      <c r="AJ5" s="447"/>
      <c r="AK5" s="447"/>
      <c r="AL5" s="447"/>
      <c r="AM5" s="447"/>
      <c r="AN5" s="447"/>
      <c r="AO5" s="447"/>
      <c r="AP5" s="447"/>
      <c r="AQ5" s="447"/>
      <c r="AR5" s="447"/>
      <c r="AS5" s="447"/>
      <c r="AT5" s="447"/>
      <c r="AU5" s="447"/>
    </row>
    <row r="6" spans="1:47" s="448" customFormat="1" ht="10.5">
      <c r="A6" s="377">
        <f>Demography!A6</f>
        <v>3</v>
      </c>
      <c r="B6" s="350">
        <v>4</v>
      </c>
      <c r="C6" s="350" t="s">
        <v>72</v>
      </c>
      <c r="D6" s="350">
        <v>4</v>
      </c>
      <c r="E6" s="350">
        <v>3</v>
      </c>
      <c r="F6" s="350">
        <v>5</v>
      </c>
      <c r="G6" s="350">
        <v>3</v>
      </c>
      <c r="H6" s="350">
        <v>3</v>
      </c>
      <c r="I6" s="350">
        <v>5</v>
      </c>
      <c r="J6" s="350">
        <v>2</v>
      </c>
      <c r="K6" s="350">
        <v>2</v>
      </c>
      <c r="L6" s="350">
        <v>5</v>
      </c>
      <c r="M6" s="350">
        <v>2</v>
      </c>
      <c r="N6" s="350">
        <v>4</v>
      </c>
      <c r="O6" s="350">
        <v>3</v>
      </c>
      <c r="P6" s="350">
        <v>3</v>
      </c>
      <c r="Q6" s="350">
        <v>3</v>
      </c>
      <c r="R6" s="350">
        <v>3</v>
      </c>
      <c r="S6" s="350">
        <v>4</v>
      </c>
      <c r="T6" s="350">
        <v>5</v>
      </c>
      <c r="U6" s="350">
        <v>4</v>
      </c>
      <c r="V6" s="350">
        <v>4</v>
      </c>
      <c r="W6" s="350">
        <v>3</v>
      </c>
      <c r="X6" s="351">
        <v>3</v>
      </c>
      <c r="Y6" s="447"/>
      <c r="Z6" s="447"/>
      <c r="AA6" s="447"/>
      <c r="AB6" s="447"/>
      <c r="AC6" s="447"/>
      <c r="AD6" s="447"/>
      <c r="AE6" s="447"/>
      <c r="AF6" s="447"/>
      <c r="AG6" s="447"/>
      <c r="AH6" s="447"/>
      <c r="AI6" s="447"/>
      <c r="AJ6" s="447"/>
      <c r="AK6" s="447"/>
      <c r="AL6" s="447"/>
      <c r="AM6" s="447"/>
      <c r="AN6" s="447"/>
      <c r="AO6" s="447"/>
      <c r="AP6" s="447"/>
      <c r="AQ6" s="447"/>
      <c r="AR6" s="447"/>
      <c r="AS6" s="447"/>
      <c r="AT6" s="447"/>
      <c r="AU6" s="447"/>
    </row>
    <row r="7" spans="1:47" s="448" customFormat="1" ht="10.5">
      <c r="A7" s="377">
        <f>Demography!A7</f>
        <v>4</v>
      </c>
      <c r="B7" s="350">
        <v>4</v>
      </c>
      <c r="C7" s="350">
        <v>3</v>
      </c>
      <c r="D7" s="350">
        <v>4</v>
      </c>
      <c r="E7" s="350">
        <v>3</v>
      </c>
      <c r="F7" s="350">
        <v>4</v>
      </c>
      <c r="G7" s="350">
        <v>3</v>
      </c>
      <c r="H7" s="350">
        <v>2</v>
      </c>
      <c r="I7" s="350">
        <v>4</v>
      </c>
      <c r="J7" s="350">
        <v>2</v>
      </c>
      <c r="K7" s="350">
        <v>2</v>
      </c>
      <c r="L7" s="350">
        <v>4</v>
      </c>
      <c r="M7" s="350">
        <v>4</v>
      </c>
      <c r="N7" s="350">
        <v>2</v>
      </c>
      <c r="O7" s="350">
        <v>2</v>
      </c>
      <c r="P7" s="350">
        <v>1</v>
      </c>
      <c r="Q7" s="350">
        <v>2</v>
      </c>
      <c r="R7" s="350">
        <v>2</v>
      </c>
      <c r="S7" s="350">
        <v>2</v>
      </c>
      <c r="T7" s="350">
        <v>2</v>
      </c>
      <c r="U7" s="350">
        <v>2</v>
      </c>
      <c r="V7" s="350">
        <v>2</v>
      </c>
      <c r="W7" s="350">
        <v>3</v>
      </c>
      <c r="X7" s="351">
        <v>2</v>
      </c>
      <c r="Y7" s="447"/>
      <c r="Z7" s="447"/>
      <c r="AA7" s="447"/>
      <c r="AB7" s="447"/>
      <c r="AC7" s="447"/>
      <c r="AD7" s="447"/>
      <c r="AE7" s="447"/>
      <c r="AF7" s="447"/>
      <c r="AG7" s="447"/>
      <c r="AH7" s="447"/>
      <c r="AI7" s="447"/>
      <c r="AJ7" s="447"/>
      <c r="AK7" s="447"/>
      <c r="AL7" s="447"/>
      <c r="AM7" s="447"/>
      <c r="AN7" s="447"/>
      <c r="AO7" s="447"/>
      <c r="AP7" s="447"/>
      <c r="AQ7" s="447"/>
      <c r="AR7" s="447"/>
      <c r="AS7" s="447"/>
      <c r="AT7" s="447"/>
      <c r="AU7" s="447"/>
    </row>
    <row r="8" spans="1:47" s="448" customFormat="1" ht="10.5">
      <c r="A8" s="377">
        <f>Demography!A8</f>
        <v>5</v>
      </c>
      <c r="B8" s="350">
        <v>3</v>
      </c>
      <c r="C8" s="350">
        <v>2</v>
      </c>
      <c r="D8" s="350">
        <v>3</v>
      </c>
      <c r="E8" s="350">
        <v>2</v>
      </c>
      <c r="F8" s="350">
        <v>4</v>
      </c>
      <c r="G8" s="350">
        <v>2</v>
      </c>
      <c r="H8" s="350" t="s">
        <v>72</v>
      </c>
      <c r="I8" s="350">
        <v>4</v>
      </c>
      <c r="J8" s="350">
        <v>3</v>
      </c>
      <c r="K8" s="350">
        <v>1</v>
      </c>
      <c r="L8" s="350">
        <v>4</v>
      </c>
      <c r="M8" s="350">
        <v>2</v>
      </c>
      <c r="N8" s="350">
        <v>4</v>
      </c>
      <c r="O8" s="350">
        <v>3</v>
      </c>
      <c r="P8" s="350">
        <v>2</v>
      </c>
      <c r="Q8" s="350">
        <v>3</v>
      </c>
      <c r="R8" s="350">
        <v>3</v>
      </c>
      <c r="S8" s="350">
        <v>3</v>
      </c>
      <c r="T8" s="350">
        <v>3</v>
      </c>
      <c r="U8" s="350">
        <v>2</v>
      </c>
      <c r="V8" s="350">
        <v>3</v>
      </c>
      <c r="W8" s="350">
        <v>3</v>
      </c>
      <c r="X8" s="351">
        <v>2</v>
      </c>
      <c r="Y8" s="447"/>
      <c r="Z8" s="447"/>
      <c r="AA8" s="447"/>
      <c r="AB8" s="447"/>
      <c r="AC8" s="447"/>
      <c r="AD8" s="447"/>
      <c r="AE8" s="447"/>
      <c r="AF8" s="447"/>
      <c r="AG8" s="447"/>
      <c r="AH8" s="447"/>
      <c r="AI8" s="447"/>
      <c r="AJ8" s="447"/>
      <c r="AK8" s="447"/>
      <c r="AL8" s="447"/>
      <c r="AM8" s="447"/>
      <c r="AN8" s="447"/>
      <c r="AO8" s="447"/>
      <c r="AP8" s="447"/>
      <c r="AQ8" s="447"/>
      <c r="AR8" s="447"/>
      <c r="AS8" s="447"/>
      <c r="AT8" s="447"/>
      <c r="AU8" s="447"/>
    </row>
    <row r="9" spans="1:47" s="448" customFormat="1" ht="10.5">
      <c r="A9" s="377">
        <f>Demography!A9</f>
        <v>6</v>
      </c>
      <c r="B9" s="350">
        <v>5</v>
      </c>
      <c r="C9" s="350" t="s">
        <v>72</v>
      </c>
      <c r="D9" s="350">
        <v>4</v>
      </c>
      <c r="E9" s="350">
        <v>4</v>
      </c>
      <c r="F9" s="350">
        <v>5</v>
      </c>
      <c r="G9" s="350">
        <v>5</v>
      </c>
      <c r="H9" s="350">
        <v>4</v>
      </c>
      <c r="I9" s="350">
        <v>4</v>
      </c>
      <c r="J9" s="350">
        <v>5</v>
      </c>
      <c r="K9" s="350">
        <v>4</v>
      </c>
      <c r="L9" s="350">
        <v>5</v>
      </c>
      <c r="M9" s="350">
        <v>3</v>
      </c>
      <c r="N9" s="350">
        <v>4</v>
      </c>
      <c r="O9" s="350">
        <v>4</v>
      </c>
      <c r="P9" s="350">
        <v>2</v>
      </c>
      <c r="Q9" s="350">
        <v>3</v>
      </c>
      <c r="R9" s="350">
        <v>4</v>
      </c>
      <c r="S9" s="350">
        <v>5</v>
      </c>
      <c r="T9" s="350">
        <v>5</v>
      </c>
      <c r="U9" s="350">
        <v>5</v>
      </c>
      <c r="V9" s="350">
        <v>4</v>
      </c>
      <c r="W9" s="350">
        <v>4</v>
      </c>
      <c r="X9" s="351">
        <v>3</v>
      </c>
      <c r="Y9" s="447"/>
      <c r="Z9" s="447"/>
      <c r="AA9" s="447"/>
      <c r="AB9" s="447"/>
      <c r="AC9" s="447"/>
      <c r="AD9" s="447"/>
      <c r="AE9" s="447"/>
      <c r="AF9" s="447"/>
      <c r="AG9" s="447"/>
      <c r="AH9" s="447"/>
      <c r="AI9" s="447"/>
      <c r="AJ9" s="447"/>
      <c r="AK9" s="447"/>
      <c r="AL9" s="447"/>
      <c r="AM9" s="447"/>
      <c r="AN9" s="447"/>
      <c r="AO9" s="447"/>
      <c r="AP9" s="447"/>
      <c r="AQ9" s="447"/>
      <c r="AR9" s="447"/>
      <c r="AS9" s="447"/>
      <c r="AT9" s="447"/>
      <c r="AU9" s="447"/>
    </row>
    <row r="10" spans="1:47" s="448" customFormat="1" ht="10.5">
      <c r="A10" s="377">
        <f>Demography!A10</f>
        <v>7</v>
      </c>
      <c r="B10" s="350">
        <v>3</v>
      </c>
      <c r="C10" s="350">
        <v>1</v>
      </c>
      <c r="D10" s="350">
        <v>3</v>
      </c>
      <c r="E10" s="350">
        <v>2</v>
      </c>
      <c r="F10" s="350">
        <v>3</v>
      </c>
      <c r="G10" s="350" t="s">
        <v>72</v>
      </c>
      <c r="H10" s="350">
        <v>3</v>
      </c>
      <c r="I10" s="350">
        <v>2</v>
      </c>
      <c r="J10" s="350">
        <v>4</v>
      </c>
      <c r="K10" s="350">
        <v>2</v>
      </c>
      <c r="L10" s="350">
        <v>2</v>
      </c>
      <c r="M10" s="350">
        <v>1</v>
      </c>
      <c r="N10" s="350">
        <v>3</v>
      </c>
      <c r="O10" s="350">
        <v>2</v>
      </c>
      <c r="P10" s="350">
        <v>1</v>
      </c>
      <c r="Q10" s="350">
        <v>1</v>
      </c>
      <c r="R10" s="350">
        <v>1</v>
      </c>
      <c r="S10" s="350">
        <v>2</v>
      </c>
      <c r="T10" s="350">
        <v>4</v>
      </c>
      <c r="U10" s="350">
        <v>2</v>
      </c>
      <c r="V10" s="350">
        <v>3</v>
      </c>
      <c r="W10" s="350">
        <v>3</v>
      </c>
      <c r="X10" s="351">
        <v>2</v>
      </c>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row>
    <row r="11" spans="1:49" s="448" customFormat="1" ht="10.5">
      <c r="A11" s="377">
        <f>Demography!A11</f>
        <v>8</v>
      </c>
      <c r="B11" s="350">
        <v>4</v>
      </c>
      <c r="C11" s="350">
        <v>3</v>
      </c>
      <c r="D11" s="350">
        <v>4</v>
      </c>
      <c r="E11" s="350">
        <v>3</v>
      </c>
      <c r="F11" s="350">
        <v>5</v>
      </c>
      <c r="G11" s="350">
        <v>4</v>
      </c>
      <c r="H11" s="350">
        <v>4</v>
      </c>
      <c r="I11" s="350">
        <v>4</v>
      </c>
      <c r="J11" s="350">
        <v>5</v>
      </c>
      <c r="K11" s="350">
        <v>4</v>
      </c>
      <c r="L11" s="350">
        <v>4</v>
      </c>
      <c r="M11" s="350">
        <v>4</v>
      </c>
      <c r="N11" s="350">
        <v>5</v>
      </c>
      <c r="O11" s="350">
        <v>5</v>
      </c>
      <c r="P11" s="350">
        <v>4</v>
      </c>
      <c r="Q11" s="350">
        <v>4</v>
      </c>
      <c r="R11" s="350">
        <v>5</v>
      </c>
      <c r="S11" s="350">
        <v>5</v>
      </c>
      <c r="T11" s="350">
        <v>5</v>
      </c>
      <c r="U11" s="350">
        <v>5</v>
      </c>
      <c r="V11" s="350">
        <v>5</v>
      </c>
      <c r="W11" s="350">
        <v>5</v>
      </c>
      <c r="X11" s="351">
        <v>5</v>
      </c>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389"/>
      <c r="AW11" s="389"/>
    </row>
    <row r="12" spans="1:49" s="448" customFormat="1" ht="10.5">
      <c r="A12" s="377">
        <f>Demography!A12</f>
        <v>9</v>
      </c>
      <c r="B12" s="350">
        <v>4</v>
      </c>
      <c r="C12" s="350">
        <v>4</v>
      </c>
      <c r="D12" s="350">
        <v>3</v>
      </c>
      <c r="E12" s="350">
        <v>3</v>
      </c>
      <c r="F12" s="350">
        <v>3</v>
      </c>
      <c r="G12" s="350">
        <v>3</v>
      </c>
      <c r="H12" s="350">
        <v>3</v>
      </c>
      <c r="I12" s="350">
        <v>4</v>
      </c>
      <c r="J12" s="350">
        <v>4</v>
      </c>
      <c r="K12" s="350">
        <v>1</v>
      </c>
      <c r="L12" s="350">
        <v>4</v>
      </c>
      <c r="M12" s="350">
        <v>3</v>
      </c>
      <c r="N12" s="350">
        <v>3</v>
      </c>
      <c r="O12" s="350">
        <v>3</v>
      </c>
      <c r="P12" s="350">
        <v>4</v>
      </c>
      <c r="Q12" s="350">
        <v>4</v>
      </c>
      <c r="R12" s="353">
        <v>3</v>
      </c>
      <c r="S12" s="353">
        <v>2</v>
      </c>
      <c r="T12" s="353">
        <v>3</v>
      </c>
      <c r="U12" s="353">
        <v>3</v>
      </c>
      <c r="V12" s="353">
        <v>4</v>
      </c>
      <c r="W12" s="353">
        <v>4</v>
      </c>
      <c r="X12" s="354">
        <v>3</v>
      </c>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389"/>
      <c r="AW12" s="389"/>
    </row>
    <row r="13" spans="1:49" s="448" customFormat="1" ht="10.5">
      <c r="A13" s="377">
        <f>Demography!A13</f>
        <v>10</v>
      </c>
      <c r="B13" s="350">
        <v>4</v>
      </c>
      <c r="C13" s="350">
        <v>1</v>
      </c>
      <c r="D13" s="350">
        <v>3</v>
      </c>
      <c r="E13" s="350">
        <v>2</v>
      </c>
      <c r="F13" s="350">
        <v>5</v>
      </c>
      <c r="G13" s="350">
        <v>1</v>
      </c>
      <c r="H13" s="350">
        <v>3</v>
      </c>
      <c r="I13" s="350">
        <v>4</v>
      </c>
      <c r="J13" s="350">
        <v>4</v>
      </c>
      <c r="K13" s="350">
        <v>2</v>
      </c>
      <c r="L13" s="350">
        <v>4</v>
      </c>
      <c r="M13" s="350">
        <v>2</v>
      </c>
      <c r="N13" s="350">
        <v>5</v>
      </c>
      <c r="O13" s="350">
        <v>2</v>
      </c>
      <c r="P13" s="350">
        <v>2</v>
      </c>
      <c r="Q13" s="350">
        <v>3</v>
      </c>
      <c r="R13" s="353">
        <v>4</v>
      </c>
      <c r="S13" s="353">
        <v>5</v>
      </c>
      <c r="T13" s="353">
        <v>5</v>
      </c>
      <c r="U13" s="353">
        <v>3</v>
      </c>
      <c r="V13" s="353">
        <v>3</v>
      </c>
      <c r="W13" s="353">
        <v>4</v>
      </c>
      <c r="X13" s="354">
        <v>2</v>
      </c>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389"/>
      <c r="AW13" s="389"/>
    </row>
    <row r="14" spans="1:49" s="448" customFormat="1" ht="10.5">
      <c r="A14" s="377">
        <f>Demography!A14</f>
        <v>11</v>
      </c>
      <c r="B14" s="350">
        <v>3</v>
      </c>
      <c r="C14" s="350">
        <v>2</v>
      </c>
      <c r="D14" s="350">
        <v>3</v>
      </c>
      <c r="E14" s="350">
        <v>3</v>
      </c>
      <c r="F14" s="350">
        <v>4.5</v>
      </c>
      <c r="G14" s="350">
        <v>2</v>
      </c>
      <c r="H14" s="350">
        <v>4</v>
      </c>
      <c r="I14" s="350">
        <v>4</v>
      </c>
      <c r="J14" s="350">
        <v>2</v>
      </c>
      <c r="K14" s="350">
        <v>2</v>
      </c>
      <c r="L14" s="350">
        <v>3</v>
      </c>
      <c r="M14" s="350">
        <v>2</v>
      </c>
      <c r="N14" s="350">
        <v>2</v>
      </c>
      <c r="O14" s="350">
        <v>2</v>
      </c>
      <c r="P14" s="350">
        <v>4</v>
      </c>
      <c r="Q14" s="350">
        <v>4</v>
      </c>
      <c r="R14" s="353">
        <v>3</v>
      </c>
      <c r="S14" s="353">
        <v>4</v>
      </c>
      <c r="T14" s="353">
        <v>2</v>
      </c>
      <c r="U14" s="353">
        <v>2</v>
      </c>
      <c r="V14" s="353">
        <v>4.5</v>
      </c>
      <c r="W14" s="353">
        <v>3</v>
      </c>
      <c r="X14" s="354">
        <v>4</v>
      </c>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389"/>
      <c r="AW14" s="389"/>
    </row>
    <row r="15" spans="1:115" s="448" customFormat="1" ht="11.25" thickBot="1">
      <c r="A15" s="393">
        <f>Demography!A15</f>
        <v>12</v>
      </c>
      <c r="B15" s="362">
        <v>3</v>
      </c>
      <c r="C15" s="362" t="s">
        <v>72</v>
      </c>
      <c r="D15" s="362">
        <v>3</v>
      </c>
      <c r="E15" s="362">
        <v>3</v>
      </c>
      <c r="F15" s="362">
        <v>5</v>
      </c>
      <c r="G15" s="362" t="s">
        <v>72</v>
      </c>
      <c r="H15" s="362">
        <v>3</v>
      </c>
      <c r="I15" s="362">
        <v>5</v>
      </c>
      <c r="J15" s="362">
        <v>5</v>
      </c>
      <c r="K15" s="362">
        <v>5</v>
      </c>
      <c r="L15" s="362">
        <v>4</v>
      </c>
      <c r="M15" s="362">
        <v>3</v>
      </c>
      <c r="N15" s="362">
        <v>3</v>
      </c>
      <c r="O15" s="362">
        <v>2</v>
      </c>
      <c r="P15" s="362">
        <v>3</v>
      </c>
      <c r="Q15" s="362">
        <v>1</v>
      </c>
      <c r="R15" s="357">
        <v>1</v>
      </c>
      <c r="S15" s="357">
        <v>4</v>
      </c>
      <c r="T15" s="357">
        <v>5</v>
      </c>
      <c r="U15" s="357">
        <v>4</v>
      </c>
      <c r="V15" s="357">
        <v>3</v>
      </c>
      <c r="W15" s="357">
        <v>3</v>
      </c>
      <c r="X15" s="358">
        <v>3</v>
      </c>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389"/>
      <c r="DG15" s="389"/>
      <c r="DH15" s="389"/>
      <c r="DI15" s="389"/>
      <c r="DJ15" s="389"/>
      <c r="DK15" s="389"/>
    </row>
    <row r="16" spans="1:49" s="448" customFormat="1" ht="10.5">
      <c r="A16" s="449" t="s">
        <v>194</v>
      </c>
      <c r="B16" s="450">
        <f aca="true" t="shared" si="0" ref="B16:X16">AVERAGE(B4:B15)</f>
        <v>3.9166666666666665</v>
      </c>
      <c r="C16" s="450">
        <f t="shared" si="0"/>
        <v>2.4444444444444446</v>
      </c>
      <c r="D16" s="450">
        <f t="shared" si="0"/>
        <v>3.5</v>
      </c>
      <c r="E16" s="450">
        <f t="shared" si="0"/>
        <v>2.9166666666666665</v>
      </c>
      <c r="F16" s="450">
        <f t="shared" si="0"/>
        <v>4.375</v>
      </c>
      <c r="G16" s="450">
        <f t="shared" si="0"/>
        <v>3</v>
      </c>
      <c r="H16" s="450">
        <f t="shared" si="0"/>
        <v>3.3636363636363638</v>
      </c>
      <c r="I16" s="450">
        <f t="shared" si="0"/>
        <v>4.166666666666667</v>
      </c>
      <c r="J16" s="450">
        <f t="shared" si="0"/>
        <v>3.6666666666666665</v>
      </c>
      <c r="K16" s="450">
        <f t="shared" si="0"/>
        <v>2.8333333333333335</v>
      </c>
      <c r="L16" s="450">
        <f t="shared" si="0"/>
        <v>3.9166666666666665</v>
      </c>
      <c r="M16" s="450">
        <f t="shared" si="0"/>
        <v>2.75</v>
      </c>
      <c r="N16" s="450">
        <f t="shared" si="0"/>
        <v>3.5</v>
      </c>
      <c r="O16" s="450">
        <f t="shared" si="0"/>
        <v>2.8333333333333335</v>
      </c>
      <c r="P16" s="450">
        <f t="shared" si="0"/>
        <v>2.8333333333333335</v>
      </c>
      <c r="Q16" s="450">
        <f t="shared" si="0"/>
        <v>2.9166666666666665</v>
      </c>
      <c r="R16" s="450">
        <f t="shared" si="0"/>
        <v>2.8333333333333335</v>
      </c>
      <c r="S16" s="450">
        <f t="shared" si="0"/>
        <v>3.5833333333333335</v>
      </c>
      <c r="T16" s="450">
        <f t="shared" si="0"/>
        <v>4</v>
      </c>
      <c r="U16" s="450">
        <f t="shared" si="0"/>
        <v>3.25</v>
      </c>
      <c r="V16" s="450">
        <f t="shared" si="0"/>
        <v>3.5416666666666665</v>
      </c>
      <c r="W16" s="450">
        <f t="shared" si="0"/>
        <v>3.4166666666666665</v>
      </c>
      <c r="X16" s="451">
        <f t="shared" si="0"/>
        <v>3</v>
      </c>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389"/>
      <c r="AW16" s="389"/>
    </row>
    <row r="17" spans="1:49" s="448" customFormat="1" ht="10.5">
      <c r="A17" s="452" t="s">
        <v>195</v>
      </c>
      <c r="B17" s="392">
        <f aca="true" t="shared" si="1" ref="B17:X17">STDEV(B4:B15)</f>
        <v>0.7929614610987585</v>
      </c>
      <c r="C17" s="392">
        <f t="shared" si="1"/>
        <v>1.0137937550497031</v>
      </c>
      <c r="D17" s="392">
        <f t="shared" si="1"/>
        <v>0.5222329678670935</v>
      </c>
      <c r="E17" s="392">
        <f t="shared" si="1"/>
        <v>0.6685579234215218</v>
      </c>
      <c r="F17" s="392">
        <f t="shared" si="1"/>
        <v>0.7723929758166558</v>
      </c>
      <c r="G17" s="392">
        <f t="shared" si="1"/>
        <v>1.1547005383792515</v>
      </c>
      <c r="H17" s="392">
        <f t="shared" si="1"/>
        <v>0.6741998624632421</v>
      </c>
      <c r="I17" s="392">
        <f t="shared" si="1"/>
        <v>0.8348471099367214</v>
      </c>
      <c r="J17" s="392">
        <f t="shared" si="1"/>
        <v>1.154700538379251</v>
      </c>
      <c r="K17" s="392">
        <f t="shared" si="1"/>
        <v>1.4668044012461756</v>
      </c>
      <c r="L17" s="392">
        <f t="shared" si="1"/>
        <v>0.7929614610987585</v>
      </c>
      <c r="M17" s="392">
        <f t="shared" si="1"/>
        <v>0.9653072991634227</v>
      </c>
      <c r="N17" s="392">
        <f t="shared" si="1"/>
        <v>1</v>
      </c>
      <c r="O17" s="392">
        <f t="shared" si="1"/>
        <v>1.0298573010888747</v>
      </c>
      <c r="P17" s="392">
        <f t="shared" si="1"/>
        <v>1.1934162828797104</v>
      </c>
      <c r="Q17" s="392">
        <f t="shared" si="1"/>
        <v>1.083624669450832</v>
      </c>
      <c r="R17" s="392">
        <f t="shared" si="1"/>
        <v>1.337115846843043</v>
      </c>
      <c r="S17" s="392">
        <f t="shared" si="1"/>
        <v>1.3113721705515062</v>
      </c>
      <c r="T17" s="392">
        <f t="shared" si="1"/>
        <v>1.2060453783110545</v>
      </c>
      <c r="U17" s="392">
        <f t="shared" si="1"/>
        <v>1.1381803659589922</v>
      </c>
      <c r="V17" s="392">
        <f t="shared" si="1"/>
        <v>0.8382431122004608</v>
      </c>
      <c r="W17" s="392">
        <f t="shared" si="1"/>
        <v>0.7929614610987585</v>
      </c>
      <c r="X17" s="453">
        <f t="shared" si="1"/>
        <v>0.9534625892455924</v>
      </c>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389"/>
      <c r="AW17" s="389"/>
    </row>
    <row r="18" spans="1:49" s="457" customFormat="1" ht="11.25" thickBot="1">
      <c r="A18" s="454" t="s">
        <v>196</v>
      </c>
      <c r="B18" s="402">
        <f aca="true" t="shared" si="2" ref="B18:X18">MEDIAN(B4:B15)</f>
        <v>4</v>
      </c>
      <c r="C18" s="402">
        <f t="shared" si="2"/>
        <v>3</v>
      </c>
      <c r="D18" s="402">
        <f t="shared" si="2"/>
        <v>3.5</v>
      </c>
      <c r="E18" s="402">
        <f t="shared" si="2"/>
        <v>3</v>
      </c>
      <c r="F18" s="402">
        <f t="shared" si="2"/>
        <v>4.75</v>
      </c>
      <c r="G18" s="402">
        <f t="shared" si="2"/>
        <v>3</v>
      </c>
      <c r="H18" s="402">
        <f t="shared" si="2"/>
        <v>3</v>
      </c>
      <c r="I18" s="402">
        <f t="shared" si="2"/>
        <v>4</v>
      </c>
      <c r="J18" s="402">
        <f t="shared" si="2"/>
        <v>4</v>
      </c>
      <c r="K18" s="402">
        <f t="shared" si="2"/>
        <v>2</v>
      </c>
      <c r="L18" s="402">
        <f t="shared" si="2"/>
        <v>4</v>
      </c>
      <c r="M18" s="402">
        <f t="shared" si="2"/>
        <v>3</v>
      </c>
      <c r="N18" s="402">
        <f t="shared" si="2"/>
        <v>3.5</v>
      </c>
      <c r="O18" s="402">
        <f t="shared" si="2"/>
        <v>2.5</v>
      </c>
      <c r="P18" s="402">
        <f t="shared" si="2"/>
        <v>3</v>
      </c>
      <c r="Q18" s="402">
        <f t="shared" si="2"/>
        <v>3</v>
      </c>
      <c r="R18" s="402">
        <f t="shared" si="2"/>
        <v>3</v>
      </c>
      <c r="S18" s="402">
        <f t="shared" si="2"/>
        <v>4</v>
      </c>
      <c r="T18" s="402">
        <f t="shared" si="2"/>
        <v>4.5</v>
      </c>
      <c r="U18" s="402">
        <f t="shared" si="2"/>
        <v>3</v>
      </c>
      <c r="V18" s="402">
        <f t="shared" si="2"/>
        <v>3.5</v>
      </c>
      <c r="W18" s="402">
        <f t="shared" si="2"/>
        <v>3</v>
      </c>
      <c r="X18" s="455">
        <f t="shared" si="2"/>
        <v>3</v>
      </c>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56"/>
      <c r="AW18" s="456"/>
    </row>
    <row r="19" spans="18:49" ht="10.5">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row>
    <row r="20" spans="18:49" ht="10.5">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row>
    <row r="21" spans="2:49" ht="10.5">
      <c r="B21" s="101"/>
      <c r="C21" s="11"/>
      <c r="D21" s="11"/>
      <c r="E21" s="11"/>
      <c r="F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row>
    <row r="22" spans="2:49" ht="10.5">
      <c r="B22" s="11"/>
      <c r="C22" s="11"/>
      <c r="D22" s="11"/>
      <c r="E22" s="11"/>
      <c r="F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row>
    <row r="23" spans="25:49" ht="10.5">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row>
    <row r="24" spans="25:49" ht="10.5">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row>
    <row r="25" spans="25:49" ht="10.5">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row>
  </sheetData>
  <mergeCells count="7">
    <mergeCell ref="C2:E2"/>
    <mergeCell ref="A1:A2"/>
    <mergeCell ref="N2:T2"/>
    <mergeCell ref="U2:X2"/>
    <mergeCell ref="H2:I2"/>
    <mergeCell ref="J2:K2"/>
    <mergeCell ref="B1:T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3"/>
  <sheetViews>
    <sheetView workbookViewId="0" topLeftCell="A1">
      <pane xSplit="1" ySplit="3" topLeftCell="B7" activePane="bottomRight" state="frozen"/>
      <selection pane="topLeft" activeCell="A1" sqref="A1"/>
      <selection pane="topRight" activeCell="B1" sqref="B1"/>
      <selection pane="bottomLeft" activeCell="A4" sqref="A4"/>
      <selection pane="bottomRight" activeCell="G28" sqref="G28"/>
    </sheetView>
  </sheetViews>
  <sheetFormatPr defaultColWidth="9.140625" defaultRowHeight="12"/>
  <cols>
    <col min="1" max="1" width="21.00390625" style="6" customWidth="1"/>
    <col min="2" max="2" width="18.7109375" style="6" customWidth="1"/>
    <col min="3" max="3" width="21.8515625" style="6" customWidth="1"/>
    <col min="4" max="4" width="22.421875" style="6" customWidth="1"/>
    <col min="5" max="5" width="26.140625" style="6" customWidth="1"/>
    <col min="6" max="6" width="19.00390625" style="6" customWidth="1"/>
    <col min="7" max="7" width="21.140625" style="6" customWidth="1"/>
    <col min="8" max="8" width="22.00390625" style="6" customWidth="1"/>
    <col min="9" max="9" width="23.421875" style="6" customWidth="1"/>
    <col min="10" max="10" width="20.7109375" style="6" customWidth="1"/>
    <col min="11" max="11" width="22.421875" style="6" customWidth="1"/>
    <col min="12" max="21" width="26.8515625" style="6" customWidth="1"/>
    <col min="22" max="16384" width="12.00390625" style="6" customWidth="1"/>
  </cols>
  <sheetData>
    <row r="1" spans="1:29" ht="43.5" customHeight="1">
      <c r="A1" s="232" t="s">
        <v>111</v>
      </c>
      <c r="B1" s="495" t="s">
        <v>247</v>
      </c>
      <c r="C1" s="496"/>
      <c r="D1" s="496"/>
      <c r="E1" s="496"/>
      <c r="F1" s="496"/>
      <c r="G1" s="496"/>
      <c r="H1" s="496"/>
      <c r="I1" s="496"/>
      <c r="J1" s="496"/>
      <c r="K1" s="497"/>
      <c r="L1"/>
      <c r="M1"/>
      <c r="N1"/>
      <c r="O1"/>
      <c r="P1"/>
      <c r="Q1"/>
      <c r="R1"/>
      <c r="S1"/>
      <c r="T1"/>
      <c r="U1"/>
      <c r="V1"/>
      <c r="W1"/>
      <c r="X1"/>
      <c r="Y1"/>
      <c r="Z1"/>
      <c r="AA1"/>
      <c r="AB1"/>
      <c r="AC1"/>
    </row>
    <row r="2" spans="1:29" ht="46.5" customHeight="1">
      <c r="A2" s="233"/>
      <c r="B2" s="490" t="s">
        <v>249</v>
      </c>
      <c r="C2" s="490"/>
      <c r="D2" s="490"/>
      <c r="E2" s="490"/>
      <c r="F2" s="490"/>
      <c r="G2" s="490"/>
      <c r="H2" s="438" t="s">
        <v>250</v>
      </c>
      <c r="I2" s="440"/>
      <c r="J2" s="440"/>
      <c r="K2" s="500"/>
      <c r="L2"/>
      <c r="M2"/>
      <c r="N2"/>
      <c r="O2"/>
      <c r="P2"/>
      <c r="Q2"/>
      <c r="R2"/>
      <c r="S2"/>
      <c r="T2"/>
      <c r="U2"/>
      <c r="V2"/>
      <c r="W2"/>
      <c r="X2"/>
      <c r="Y2"/>
      <c r="Z2"/>
      <c r="AA2"/>
      <c r="AB2"/>
      <c r="AC2"/>
    </row>
    <row r="3" spans="1:29" s="487" customFormat="1" ht="67.5" customHeight="1">
      <c r="A3" s="498" t="s">
        <v>234</v>
      </c>
      <c r="B3" s="488" t="s">
        <v>215</v>
      </c>
      <c r="C3" s="488" t="s">
        <v>225</v>
      </c>
      <c r="D3" s="488" t="s">
        <v>216</v>
      </c>
      <c r="E3" s="488" t="s">
        <v>224</v>
      </c>
      <c r="F3" s="488" t="s">
        <v>219</v>
      </c>
      <c r="G3" s="488" t="s">
        <v>217</v>
      </c>
      <c r="H3" s="488" t="s">
        <v>228</v>
      </c>
      <c r="I3" s="488" t="s">
        <v>227</v>
      </c>
      <c r="J3" s="488" t="s">
        <v>226</v>
      </c>
      <c r="K3" s="489" t="s">
        <v>218</v>
      </c>
      <c r="L3"/>
      <c r="M3"/>
      <c r="N3"/>
      <c r="O3"/>
      <c r="P3"/>
      <c r="Q3"/>
      <c r="R3"/>
      <c r="S3"/>
      <c r="T3"/>
      <c r="U3"/>
      <c r="V3"/>
      <c r="W3"/>
      <c r="X3"/>
      <c r="Y3"/>
      <c r="Z3"/>
      <c r="AA3"/>
      <c r="AB3"/>
      <c r="AC3"/>
    </row>
    <row r="4" spans="1:21" s="448" customFormat="1" ht="10.5">
      <c r="A4" s="348">
        <f>Demography!A4</f>
        <v>1</v>
      </c>
      <c r="B4" s="350">
        <v>3</v>
      </c>
      <c r="C4" s="350">
        <v>4</v>
      </c>
      <c r="D4" s="350">
        <v>4</v>
      </c>
      <c r="E4" s="350">
        <v>3</v>
      </c>
      <c r="F4" s="350">
        <v>4</v>
      </c>
      <c r="G4" s="350">
        <v>4</v>
      </c>
      <c r="H4" s="350">
        <v>5</v>
      </c>
      <c r="I4" s="350">
        <v>4</v>
      </c>
      <c r="J4" s="350">
        <v>4</v>
      </c>
      <c r="K4" s="351">
        <v>4</v>
      </c>
      <c r="L4" s="447"/>
      <c r="M4" s="447"/>
      <c r="N4" s="447"/>
      <c r="O4" s="447"/>
      <c r="P4" s="447"/>
      <c r="Q4" s="447"/>
      <c r="R4" s="447"/>
      <c r="S4" s="447"/>
      <c r="T4" s="447"/>
      <c r="U4" s="447"/>
    </row>
    <row r="5" spans="1:21" s="448" customFormat="1" ht="10.5">
      <c r="A5" s="348">
        <f>Demography!A5</f>
        <v>2</v>
      </c>
      <c r="B5" s="350">
        <v>4</v>
      </c>
      <c r="C5" s="350">
        <v>4</v>
      </c>
      <c r="D5" s="350">
        <v>4</v>
      </c>
      <c r="E5" s="350">
        <v>3</v>
      </c>
      <c r="F5" s="350">
        <v>3</v>
      </c>
      <c r="G5" s="350">
        <v>3</v>
      </c>
      <c r="H5" s="350">
        <v>5</v>
      </c>
      <c r="I5" s="350">
        <v>2</v>
      </c>
      <c r="J5" s="350">
        <v>5</v>
      </c>
      <c r="K5" s="351">
        <v>2</v>
      </c>
      <c r="L5" s="447"/>
      <c r="M5" s="447"/>
      <c r="N5" s="447"/>
      <c r="O5" s="447"/>
      <c r="P5" s="447"/>
      <c r="Q5" s="447"/>
      <c r="R5" s="447"/>
      <c r="S5" s="447"/>
      <c r="T5" s="447"/>
      <c r="U5" s="447"/>
    </row>
    <row r="6" spans="1:21" s="448" customFormat="1" ht="10.5">
      <c r="A6" s="348">
        <f>Demography!A6</f>
        <v>3</v>
      </c>
      <c r="B6" s="350">
        <v>3</v>
      </c>
      <c r="C6" s="350">
        <v>3</v>
      </c>
      <c r="D6" s="350">
        <v>4</v>
      </c>
      <c r="E6" s="350">
        <v>3</v>
      </c>
      <c r="F6" s="350">
        <v>1</v>
      </c>
      <c r="G6" s="350">
        <v>2</v>
      </c>
      <c r="H6" s="350">
        <v>5</v>
      </c>
      <c r="I6" s="350">
        <v>5</v>
      </c>
      <c r="J6" s="350">
        <v>5</v>
      </c>
      <c r="K6" s="351">
        <v>4</v>
      </c>
      <c r="L6" s="447"/>
      <c r="M6" s="447"/>
      <c r="N6" s="447"/>
      <c r="O6" s="447"/>
      <c r="P6" s="447"/>
      <c r="Q6" s="447"/>
      <c r="R6" s="447"/>
      <c r="S6" s="447"/>
      <c r="T6" s="447"/>
      <c r="U6" s="447"/>
    </row>
    <row r="7" spans="1:21" s="448" customFormat="1" ht="10.5">
      <c r="A7" s="348">
        <f>Demography!A7</f>
        <v>4</v>
      </c>
      <c r="B7" s="350">
        <v>1</v>
      </c>
      <c r="C7" s="350">
        <v>4</v>
      </c>
      <c r="D7" s="350">
        <v>4</v>
      </c>
      <c r="E7" s="350">
        <v>2</v>
      </c>
      <c r="F7" s="350" t="s">
        <v>220</v>
      </c>
      <c r="G7" s="350">
        <v>4</v>
      </c>
      <c r="H7" s="350">
        <v>4</v>
      </c>
      <c r="I7" s="350">
        <v>1</v>
      </c>
      <c r="J7" s="350">
        <v>4</v>
      </c>
      <c r="K7" s="351">
        <v>2</v>
      </c>
      <c r="L7" s="447"/>
      <c r="M7" s="447"/>
      <c r="N7" s="447"/>
      <c r="O7" s="447"/>
      <c r="P7" s="447"/>
      <c r="Q7" s="447"/>
      <c r="R7" s="447"/>
      <c r="S7" s="447"/>
      <c r="T7" s="447"/>
      <c r="U7" s="447"/>
    </row>
    <row r="8" spans="1:21" s="448" customFormat="1" ht="10.5">
      <c r="A8" s="348">
        <f>Demography!A8</f>
        <v>5</v>
      </c>
      <c r="B8" s="350">
        <v>2</v>
      </c>
      <c r="C8" s="350">
        <v>4</v>
      </c>
      <c r="D8" s="350">
        <v>3</v>
      </c>
      <c r="E8" s="350">
        <v>3</v>
      </c>
      <c r="F8" s="350">
        <v>3</v>
      </c>
      <c r="G8" s="350">
        <v>3</v>
      </c>
      <c r="H8" s="350">
        <v>2</v>
      </c>
      <c r="I8" s="350">
        <v>2</v>
      </c>
      <c r="J8" s="350">
        <v>4</v>
      </c>
      <c r="K8" s="351">
        <v>4</v>
      </c>
      <c r="L8" s="447"/>
      <c r="M8" s="447"/>
      <c r="N8" s="447"/>
      <c r="O8" s="447"/>
      <c r="P8" s="447"/>
      <c r="Q8" s="447"/>
      <c r="R8" s="447"/>
      <c r="S8" s="447"/>
      <c r="T8" s="447"/>
      <c r="U8" s="447"/>
    </row>
    <row r="9" spans="1:21" s="448" customFormat="1" ht="10.5">
      <c r="A9" s="348">
        <f>Demography!A9</f>
        <v>6</v>
      </c>
      <c r="B9" s="350">
        <v>4</v>
      </c>
      <c r="C9" s="350">
        <v>4</v>
      </c>
      <c r="D9" s="350">
        <v>4</v>
      </c>
      <c r="E9" s="350">
        <v>4</v>
      </c>
      <c r="F9" s="350">
        <v>5</v>
      </c>
      <c r="G9" s="350">
        <v>3</v>
      </c>
      <c r="H9" s="350">
        <v>5</v>
      </c>
      <c r="I9" s="350">
        <v>2</v>
      </c>
      <c r="J9" s="350">
        <v>2</v>
      </c>
      <c r="K9" s="351">
        <v>2</v>
      </c>
      <c r="L9" s="447"/>
      <c r="M9" s="447"/>
      <c r="N9" s="447"/>
      <c r="O9" s="447"/>
      <c r="P9" s="447"/>
      <c r="Q9" s="447"/>
      <c r="R9" s="447"/>
      <c r="S9" s="447"/>
      <c r="T9" s="447"/>
      <c r="U9" s="447"/>
    </row>
    <row r="10" spans="1:21" s="448" customFormat="1" ht="10.5">
      <c r="A10" s="348">
        <f>Demography!A10</f>
        <v>7</v>
      </c>
      <c r="B10" s="350">
        <v>1</v>
      </c>
      <c r="C10" s="350">
        <v>2</v>
      </c>
      <c r="D10" s="350">
        <v>3</v>
      </c>
      <c r="E10" s="350">
        <v>2</v>
      </c>
      <c r="F10" s="350">
        <v>1</v>
      </c>
      <c r="G10" s="350">
        <v>1</v>
      </c>
      <c r="H10" s="350">
        <v>4</v>
      </c>
      <c r="I10" s="350">
        <v>2</v>
      </c>
      <c r="J10" s="350">
        <v>5</v>
      </c>
      <c r="K10" s="351">
        <v>4</v>
      </c>
      <c r="L10" s="447"/>
      <c r="M10" s="447"/>
      <c r="N10" s="447"/>
      <c r="O10" s="447"/>
      <c r="P10" s="447"/>
      <c r="Q10" s="447"/>
      <c r="R10" s="447"/>
      <c r="S10" s="447"/>
      <c r="T10" s="447"/>
      <c r="U10" s="447"/>
    </row>
    <row r="11" spans="1:21" s="448" customFormat="1" ht="10.5">
      <c r="A11" s="348">
        <f>Demography!A11</f>
        <v>8</v>
      </c>
      <c r="B11" s="350">
        <v>4</v>
      </c>
      <c r="C11" s="350">
        <v>4</v>
      </c>
      <c r="D11" s="350">
        <v>4</v>
      </c>
      <c r="E11" s="350">
        <v>4</v>
      </c>
      <c r="F11" s="350">
        <v>5</v>
      </c>
      <c r="G11" s="350">
        <v>5</v>
      </c>
      <c r="H11" s="350">
        <v>5</v>
      </c>
      <c r="I11" s="350">
        <v>1</v>
      </c>
      <c r="J11" s="350">
        <v>5</v>
      </c>
      <c r="K11" s="351">
        <v>2</v>
      </c>
      <c r="L11" s="447"/>
      <c r="M11" s="447"/>
      <c r="N11" s="447"/>
      <c r="O11" s="447"/>
      <c r="P11" s="447"/>
      <c r="Q11" s="447"/>
      <c r="R11" s="447"/>
      <c r="S11" s="447"/>
      <c r="T11" s="447"/>
      <c r="U11" s="447"/>
    </row>
    <row r="12" spans="1:22" s="448" customFormat="1" ht="10.5">
      <c r="A12" s="348">
        <f>Demography!A12</f>
        <v>9</v>
      </c>
      <c r="B12" s="350">
        <v>3</v>
      </c>
      <c r="C12" s="350">
        <v>4</v>
      </c>
      <c r="D12" s="350">
        <v>5</v>
      </c>
      <c r="E12" s="350">
        <v>4</v>
      </c>
      <c r="F12" s="350">
        <v>4</v>
      </c>
      <c r="G12" s="350">
        <v>3</v>
      </c>
      <c r="H12" s="350">
        <v>5</v>
      </c>
      <c r="I12" s="350">
        <v>4</v>
      </c>
      <c r="J12" s="350">
        <v>5</v>
      </c>
      <c r="K12" s="351">
        <v>5</v>
      </c>
      <c r="L12" s="447"/>
      <c r="M12" s="447"/>
      <c r="N12" s="447"/>
      <c r="O12" s="447"/>
      <c r="P12" s="447"/>
      <c r="Q12" s="447"/>
      <c r="R12" s="447"/>
      <c r="S12" s="447"/>
      <c r="T12" s="447"/>
      <c r="U12" s="447"/>
      <c r="V12" s="389"/>
    </row>
    <row r="13" spans="1:22" s="448" customFormat="1" ht="10.5">
      <c r="A13" s="348">
        <f>Demography!A13</f>
        <v>10</v>
      </c>
      <c r="B13" s="350">
        <v>2</v>
      </c>
      <c r="C13" s="350">
        <v>4</v>
      </c>
      <c r="D13" s="350">
        <v>4</v>
      </c>
      <c r="E13" s="350">
        <v>3</v>
      </c>
      <c r="F13" s="350">
        <v>1</v>
      </c>
      <c r="G13" s="350">
        <v>1</v>
      </c>
      <c r="H13" s="350">
        <v>4</v>
      </c>
      <c r="I13" s="350">
        <v>2</v>
      </c>
      <c r="J13" s="350">
        <v>5</v>
      </c>
      <c r="K13" s="351">
        <v>2</v>
      </c>
      <c r="L13" s="447"/>
      <c r="M13" s="447"/>
      <c r="N13" s="447"/>
      <c r="O13" s="447"/>
      <c r="P13" s="447"/>
      <c r="Q13" s="447"/>
      <c r="R13" s="447"/>
      <c r="S13" s="447"/>
      <c r="T13" s="447"/>
      <c r="U13" s="447"/>
      <c r="V13" s="389"/>
    </row>
    <row r="14" spans="1:22" s="448" customFormat="1" ht="10.5">
      <c r="A14" s="348">
        <f>Demography!A14</f>
        <v>11</v>
      </c>
      <c r="B14" s="353">
        <v>4</v>
      </c>
      <c r="C14" s="350">
        <v>4</v>
      </c>
      <c r="D14" s="353">
        <v>4</v>
      </c>
      <c r="E14" s="350">
        <v>3</v>
      </c>
      <c r="F14" s="353">
        <v>3</v>
      </c>
      <c r="G14" s="353">
        <v>4</v>
      </c>
      <c r="H14" s="353">
        <v>5</v>
      </c>
      <c r="I14" s="350">
        <v>4</v>
      </c>
      <c r="J14" s="350">
        <v>5</v>
      </c>
      <c r="K14" s="354">
        <v>4</v>
      </c>
      <c r="L14" s="447"/>
      <c r="M14" s="447"/>
      <c r="N14" s="447"/>
      <c r="O14" s="447"/>
      <c r="P14" s="447"/>
      <c r="Q14" s="447"/>
      <c r="R14" s="447"/>
      <c r="S14" s="447"/>
      <c r="T14" s="447"/>
      <c r="U14" s="447"/>
      <c r="V14" s="389"/>
    </row>
    <row r="15" spans="1:22" s="448" customFormat="1" ht="11.25" thickBot="1">
      <c r="A15" s="355">
        <f>Demography!A15</f>
        <v>12</v>
      </c>
      <c r="B15" s="357">
        <v>4</v>
      </c>
      <c r="C15" s="362" t="s">
        <v>72</v>
      </c>
      <c r="D15" s="357">
        <v>4</v>
      </c>
      <c r="E15" s="362">
        <v>3</v>
      </c>
      <c r="F15" s="357">
        <v>4</v>
      </c>
      <c r="G15" s="357">
        <v>4</v>
      </c>
      <c r="H15" s="357">
        <v>4</v>
      </c>
      <c r="I15" s="362">
        <v>1</v>
      </c>
      <c r="J15" s="362">
        <v>5</v>
      </c>
      <c r="K15" s="358">
        <v>3</v>
      </c>
      <c r="L15" s="447"/>
      <c r="M15" s="447"/>
      <c r="N15" s="447"/>
      <c r="O15" s="447"/>
      <c r="P15" s="447"/>
      <c r="Q15" s="447"/>
      <c r="R15" s="447"/>
      <c r="S15" s="447"/>
      <c r="T15" s="447"/>
      <c r="U15" s="447"/>
      <c r="V15" s="389"/>
    </row>
    <row r="16" spans="1:20" s="389" customFormat="1" ht="10.5">
      <c r="A16" s="449" t="s">
        <v>194</v>
      </c>
      <c r="B16" s="450">
        <f aca="true" t="shared" si="0" ref="B16:K16">AVERAGE(B4:B15)</f>
        <v>2.9166666666666665</v>
      </c>
      <c r="C16" s="450">
        <f t="shared" si="0"/>
        <v>3.727272727272727</v>
      </c>
      <c r="D16" s="450">
        <f t="shared" si="0"/>
        <v>3.9166666666666665</v>
      </c>
      <c r="E16" s="450">
        <f t="shared" si="0"/>
        <v>3.0833333333333335</v>
      </c>
      <c r="F16" s="450">
        <f t="shared" si="0"/>
        <v>3.090909090909091</v>
      </c>
      <c r="G16" s="450">
        <f t="shared" si="0"/>
        <v>3.0833333333333335</v>
      </c>
      <c r="H16" s="450">
        <f t="shared" si="0"/>
        <v>4.416666666666667</v>
      </c>
      <c r="I16" s="450">
        <f t="shared" si="0"/>
        <v>2.5</v>
      </c>
      <c r="J16" s="450">
        <f t="shared" si="0"/>
        <v>4.5</v>
      </c>
      <c r="K16" s="451">
        <f t="shared" si="0"/>
        <v>3.1666666666666665</v>
      </c>
      <c r="L16" s="456"/>
      <c r="M16" s="456"/>
      <c r="N16" s="456"/>
      <c r="O16" s="456"/>
      <c r="P16" s="456"/>
      <c r="Q16" s="456"/>
      <c r="R16" s="456"/>
      <c r="S16" s="456"/>
      <c r="T16" s="456"/>
    </row>
    <row r="17" spans="1:22" s="448" customFormat="1" ht="10.5">
      <c r="A17" s="452" t="s">
        <v>195</v>
      </c>
      <c r="B17" s="392">
        <f aca="true" t="shared" si="1" ref="B17:K17">STDEV(B4:B15)</f>
        <v>1.1645001528813153</v>
      </c>
      <c r="C17" s="392">
        <f t="shared" si="1"/>
        <v>0.6466697906828637</v>
      </c>
      <c r="D17" s="392">
        <f t="shared" si="1"/>
        <v>0.5149286505444364</v>
      </c>
      <c r="E17" s="392">
        <f t="shared" si="1"/>
        <v>0.6685579234215218</v>
      </c>
      <c r="F17" s="392">
        <f t="shared" si="1"/>
        <v>1.513574937328539</v>
      </c>
      <c r="G17" s="392">
        <f t="shared" si="1"/>
        <v>1.2401124093721456</v>
      </c>
      <c r="H17" s="392">
        <f t="shared" si="1"/>
        <v>0.9003366373785195</v>
      </c>
      <c r="I17" s="392">
        <f t="shared" si="1"/>
        <v>1.381698559415515</v>
      </c>
      <c r="J17" s="392">
        <f t="shared" si="1"/>
        <v>0.9045340337332909</v>
      </c>
      <c r="K17" s="453">
        <f t="shared" si="1"/>
        <v>1.1146408580454257</v>
      </c>
      <c r="L17" s="456"/>
      <c r="M17" s="456"/>
      <c r="N17" s="456"/>
      <c r="O17" s="456"/>
      <c r="P17" s="456"/>
      <c r="Q17" s="456"/>
      <c r="R17" s="456"/>
      <c r="S17" s="456"/>
      <c r="T17" s="456"/>
      <c r="U17" s="389"/>
      <c r="V17" s="389"/>
    </row>
    <row r="18" spans="1:22" s="448" customFormat="1" ht="11.25" thickBot="1">
      <c r="A18" s="454" t="s">
        <v>196</v>
      </c>
      <c r="B18" s="402">
        <f aca="true" t="shared" si="2" ref="B18:K18">MEDIAN(B4:B15)</f>
        <v>3</v>
      </c>
      <c r="C18" s="402">
        <f t="shared" si="2"/>
        <v>4</v>
      </c>
      <c r="D18" s="402">
        <f t="shared" si="2"/>
        <v>4</v>
      </c>
      <c r="E18" s="402">
        <f t="shared" si="2"/>
        <v>3</v>
      </c>
      <c r="F18" s="402">
        <f t="shared" si="2"/>
        <v>3</v>
      </c>
      <c r="G18" s="402">
        <f t="shared" si="2"/>
        <v>3</v>
      </c>
      <c r="H18" s="402">
        <f t="shared" si="2"/>
        <v>5</v>
      </c>
      <c r="I18" s="402">
        <f t="shared" si="2"/>
        <v>2</v>
      </c>
      <c r="J18" s="402">
        <f t="shared" si="2"/>
        <v>5</v>
      </c>
      <c r="K18" s="455">
        <f t="shared" si="2"/>
        <v>3.5</v>
      </c>
      <c r="L18" s="456"/>
      <c r="M18" s="456"/>
      <c r="N18" s="456"/>
      <c r="O18" s="456"/>
      <c r="P18" s="456"/>
      <c r="Q18" s="456"/>
      <c r="R18" s="456"/>
      <c r="S18" s="456"/>
      <c r="T18" s="456"/>
      <c r="U18" s="389"/>
      <c r="V18" s="389"/>
    </row>
    <row r="19" spans="2:22" ht="10.5">
      <c r="B19" s="83"/>
      <c r="C19" s="11"/>
      <c r="D19" s="11"/>
      <c r="E19" s="11"/>
      <c r="F19" s="11"/>
      <c r="G19" s="11"/>
      <c r="H19" s="11"/>
      <c r="I19" s="11"/>
      <c r="J19" s="11"/>
      <c r="K19" s="11"/>
      <c r="L19" s="11"/>
      <c r="M19" s="11"/>
      <c r="N19" s="11"/>
      <c r="O19" s="11"/>
      <c r="P19" s="11"/>
      <c r="Q19" s="11"/>
      <c r="R19" s="11"/>
      <c r="S19" s="11"/>
      <c r="T19" s="11"/>
      <c r="U19" s="11"/>
      <c r="V19" s="11"/>
    </row>
    <row r="20" spans="2:22" ht="10.5" customHeight="1">
      <c r="B20" s="492" t="s">
        <v>222</v>
      </c>
      <c r="C20" s="492"/>
      <c r="D20" s="492"/>
      <c r="E20" s="492"/>
      <c r="F20" s="494"/>
      <c r="G20" s="494"/>
      <c r="H20" s="494"/>
      <c r="I20" s="494"/>
      <c r="J20" s="494"/>
      <c r="K20" s="494"/>
      <c r="L20" s="130"/>
      <c r="M20" s="130"/>
      <c r="N20" s="130"/>
      <c r="O20" s="11"/>
      <c r="P20" s="11"/>
      <c r="Q20" s="11"/>
      <c r="R20" s="11"/>
      <c r="S20" s="11"/>
      <c r="T20" s="11"/>
      <c r="U20" s="11"/>
      <c r="V20" s="11"/>
    </row>
    <row r="21" spans="2:20" ht="14.25" customHeight="1">
      <c r="B21" s="492"/>
      <c r="C21" s="492"/>
      <c r="D21" s="492"/>
      <c r="E21" s="492"/>
      <c r="F21" s="494"/>
      <c r="G21" s="494"/>
      <c r="H21" s="494"/>
      <c r="I21" s="494"/>
      <c r="J21" s="494"/>
      <c r="K21" s="494"/>
      <c r="L21" s="130"/>
      <c r="M21" s="130"/>
      <c r="N21" s="130"/>
      <c r="O21" s="11"/>
      <c r="P21" s="11"/>
      <c r="Q21" s="11"/>
      <c r="R21" s="11"/>
      <c r="S21" s="11"/>
      <c r="T21" s="11"/>
    </row>
    <row r="22" spans="2:18" ht="12">
      <c r="B22" s="493" t="s">
        <v>223</v>
      </c>
      <c r="C22" s="493"/>
      <c r="D22" s="446"/>
      <c r="E22" s="446"/>
      <c r="F22" s="446"/>
      <c r="G22" s="446"/>
      <c r="H22" s="446"/>
      <c r="I22" s="446"/>
      <c r="J22" s="446"/>
      <c r="K22" s="446"/>
      <c r="R22" s="11"/>
    </row>
    <row r="23" spans="2:3" ht="10.5">
      <c r="B23" s="84" t="s">
        <v>221</v>
      </c>
      <c r="C23" s="84"/>
    </row>
  </sheetData>
  <mergeCells count="5">
    <mergeCell ref="A1:A2"/>
    <mergeCell ref="B2:G2"/>
    <mergeCell ref="H2:K2"/>
    <mergeCell ref="B20:E21"/>
    <mergeCell ref="B1:K1"/>
  </mergeCells>
  <printOptions/>
  <pageMargins left="0.75" right="0.75" top="1" bottom="1" header="0.5" footer="0.5"/>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P27"/>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F23" sqref="AF23"/>
    </sheetView>
  </sheetViews>
  <sheetFormatPr defaultColWidth="9.140625" defaultRowHeight="12"/>
  <cols>
    <col min="1" max="1" width="19.8515625" style="6" customWidth="1"/>
    <col min="2" max="2" width="12.00390625" style="6" customWidth="1"/>
    <col min="3" max="3" width="11.140625" style="23" customWidth="1"/>
    <col min="4" max="4" width="9.7109375" style="6" customWidth="1"/>
    <col min="5" max="6" width="12.00390625" style="6" customWidth="1"/>
    <col min="7" max="7" width="7.421875" style="6" customWidth="1"/>
    <col min="8" max="8" width="8.421875" style="6" customWidth="1"/>
    <col min="9" max="9" width="10.7109375" style="6" customWidth="1"/>
    <col min="10" max="10" width="8.421875" style="6" customWidth="1"/>
    <col min="11" max="11" width="8.7109375" style="6" customWidth="1"/>
    <col min="12" max="12" width="10.28125" style="6" customWidth="1"/>
    <col min="13" max="13" width="8.00390625" style="6" customWidth="1"/>
    <col min="14" max="14" width="8.140625" style="6" customWidth="1"/>
    <col min="15" max="15" width="10.421875" style="6" customWidth="1"/>
    <col min="16" max="16" width="7.7109375" style="6" customWidth="1"/>
    <col min="17" max="17" width="9.140625" style="6" customWidth="1"/>
    <col min="18" max="18" width="11.00390625" style="6" customWidth="1"/>
    <col min="19" max="19" width="9.8515625" style="6" customWidth="1"/>
    <col min="20" max="20" width="10.8515625" style="6" customWidth="1"/>
    <col min="21" max="21" width="9.7109375" style="6" customWidth="1"/>
    <col min="22" max="22" width="11.421875" style="6" customWidth="1"/>
    <col min="23" max="23" width="8.28125" style="6" customWidth="1"/>
    <col min="24" max="24" width="9.140625" style="6" customWidth="1"/>
    <col min="25" max="25" width="12.00390625" style="6" customWidth="1"/>
    <col min="26" max="26" width="9.421875" style="6" customWidth="1"/>
    <col min="27" max="27" width="9.00390625" style="6" customWidth="1"/>
    <col min="28" max="28" width="10.421875" style="6" customWidth="1"/>
    <col min="29" max="29" width="11.28125" style="6" customWidth="1"/>
    <col min="30" max="30" width="9.00390625" style="6" customWidth="1"/>
    <col min="31" max="32" width="12.00390625" style="6" customWidth="1"/>
    <col min="33" max="33" width="9.7109375" style="6" customWidth="1"/>
    <col min="34" max="34" width="12.00390625" style="6" customWidth="1"/>
    <col min="35" max="35" width="12.8515625" style="6" customWidth="1"/>
    <col min="36" max="36" width="12.00390625" style="6" customWidth="1"/>
    <col min="37" max="37" width="12.8515625" style="6" customWidth="1"/>
    <col min="38" max="38" width="16.00390625" style="0" customWidth="1"/>
    <col min="39" max="40" width="12.00390625" style="0" customWidth="1"/>
    <col min="41" max="16384" width="12.00390625" style="6" customWidth="1"/>
  </cols>
  <sheetData>
    <row r="1" spans="1:40" s="42" customFormat="1" ht="30" customHeight="1">
      <c r="A1" s="232" t="s">
        <v>111</v>
      </c>
      <c r="B1" s="268" t="s">
        <v>173</v>
      </c>
      <c r="C1" s="269"/>
      <c r="D1" s="270"/>
      <c r="E1" s="273" t="s">
        <v>171</v>
      </c>
      <c r="F1" s="81"/>
      <c r="G1" s="280" t="s">
        <v>35</v>
      </c>
      <c r="H1" s="280"/>
      <c r="I1" s="280"/>
      <c r="J1" s="280"/>
      <c r="K1" s="280"/>
      <c r="L1" s="280"/>
      <c r="M1" s="280"/>
      <c r="N1" s="280"/>
      <c r="O1" s="280"/>
      <c r="P1" s="280"/>
      <c r="Q1" s="280"/>
      <c r="R1" s="243" t="s">
        <v>8</v>
      </c>
      <c r="S1" s="243"/>
      <c r="T1" s="243"/>
      <c r="U1" s="244"/>
      <c r="V1" s="257" t="s">
        <v>169</v>
      </c>
      <c r="W1" s="258"/>
      <c r="X1" s="258"/>
      <c r="Y1" s="259"/>
      <c r="Z1" s="242" t="s">
        <v>201</v>
      </c>
      <c r="AA1" s="243"/>
      <c r="AB1" s="243"/>
      <c r="AC1" s="244"/>
      <c r="AD1" s="277" t="s">
        <v>0</v>
      </c>
      <c r="AE1" s="278"/>
      <c r="AF1" s="278"/>
      <c r="AG1" s="278"/>
      <c r="AH1" s="278"/>
      <c r="AI1" s="278"/>
      <c r="AJ1" s="274" t="s">
        <v>36</v>
      </c>
      <c r="AK1" s="275"/>
      <c r="AL1"/>
      <c r="AM1"/>
      <c r="AN1"/>
    </row>
    <row r="2" spans="1:42" s="42" customFormat="1" ht="34.5" customHeight="1">
      <c r="A2" s="233"/>
      <c r="B2" s="271" t="s">
        <v>46</v>
      </c>
      <c r="C2" s="271"/>
      <c r="D2" s="272"/>
      <c r="E2" s="144"/>
      <c r="F2" s="260" t="s">
        <v>101</v>
      </c>
      <c r="G2" s="261"/>
      <c r="H2" s="261"/>
      <c r="I2" s="264" t="s">
        <v>87</v>
      </c>
      <c r="J2" s="265"/>
      <c r="K2" s="265"/>
      <c r="L2" s="265"/>
      <c r="M2" s="265"/>
      <c r="N2" s="265"/>
      <c r="O2" s="282" t="s">
        <v>104</v>
      </c>
      <c r="P2" s="282"/>
      <c r="Q2" s="282"/>
      <c r="R2" s="172" t="s">
        <v>101</v>
      </c>
      <c r="S2" s="246" t="s">
        <v>87</v>
      </c>
      <c r="T2" s="246"/>
      <c r="U2" s="231" t="s">
        <v>104</v>
      </c>
      <c r="V2" s="255" t="s">
        <v>101</v>
      </c>
      <c r="W2" s="249" t="s">
        <v>87</v>
      </c>
      <c r="X2" s="249"/>
      <c r="Y2" s="251" t="s">
        <v>104</v>
      </c>
      <c r="Z2" s="172" t="s">
        <v>101</v>
      </c>
      <c r="AA2" s="246" t="s">
        <v>87</v>
      </c>
      <c r="AB2" s="246"/>
      <c r="AC2" s="231" t="s">
        <v>104</v>
      </c>
      <c r="AD2" s="253" t="s">
        <v>43</v>
      </c>
      <c r="AE2" s="253"/>
      <c r="AF2" s="253"/>
      <c r="AG2" s="256" t="s">
        <v>44</v>
      </c>
      <c r="AH2" s="256"/>
      <c r="AI2" s="276"/>
      <c r="AJ2" s="143" t="s">
        <v>38</v>
      </c>
      <c r="AK2" s="250" t="s">
        <v>39</v>
      </c>
      <c r="AL2"/>
      <c r="AM2"/>
      <c r="AN2"/>
      <c r="AO2" s="8"/>
      <c r="AP2" s="8"/>
    </row>
    <row r="3" spans="1:42" s="42" customFormat="1" ht="13.5" customHeight="1">
      <c r="A3" s="279" t="s">
        <v>234</v>
      </c>
      <c r="B3" s="271" t="s">
        <v>49</v>
      </c>
      <c r="C3" s="281" t="s">
        <v>97</v>
      </c>
      <c r="D3" s="272" t="s">
        <v>71</v>
      </c>
      <c r="E3" s="144"/>
      <c r="F3" s="245" t="s">
        <v>172</v>
      </c>
      <c r="G3" s="245" t="s">
        <v>105</v>
      </c>
      <c r="H3" s="247" t="s">
        <v>51</v>
      </c>
      <c r="I3" s="266" t="s">
        <v>172</v>
      </c>
      <c r="J3" s="266" t="s">
        <v>82</v>
      </c>
      <c r="K3" s="266" t="s">
        <v>51</v>
      </c>
      <c r="L3" s="266" t="s">
        <v>172</v>
      </c>
      <c r="M3" s="266" t="s">
        <v>83</v>
      </c>
      <c r="N3" s="283" t="s">
        <v>51</v>
      </c>
      <c r="O3" s="256" t="s">
        <v>172</v>
      </c>
      <c r="P3" s="256" t="s">
        <v>105</v>
      </c>
      <c r="Q3" s="256" t="s">
        <v>51</v>
      </c>
      <c r="R3" s="172"/>
      <c r="S3" s="144" t="s">
        <v>82</v>
      </c>
      <c r="T3" s="144" t="s">
        <v>83</v>
      </c>
      <c r="U3" s="231"/>
      <c r="V3" s="144"/>
      <c r="W3" s="172" t="s">
        <v>82</v>
      </c>
      <c r="X3" s="172" t="s">
        <v>83</v>
      </c>
      <c r="Y3" s="252"/>
      <c r="Z3" s="172"/>
      <c r="AA3" s="144" t="s">
        <v>82</v>
      </c>
      <c r="AB3" s="144" t="s">
        <v>83</v>
      </c>
      <c r="AC3" s="231"/>
      <c r="AD3" s="254" t="s">
        <v>12</v>
      </c>
      <c r="AE3" s="254" t="s">
        <v>13</v>
      </c>
      <c r="AF3" s="254" t="s">
        <v>96</v>
      </c>
      <c r="AG3" s="256" t="s">
        <v>12</v>
      </c>
      <c r="AH3" s="256" t="s">
        <v>13</v>
      </c>
      <c r="AI3" s="276" t="s">
        <v>96</v>
      </c>
      <c r="AJ3" s="143"/>
      <c r="AK3" s="250"/>
      <c r="AL3"/>
      <c r="AM3"/>
      <c r="AN3"/>
      <c r="AO3" s="8"/>
      <c r="AP3" s="8"/>
    </row>
    <row r="4" spans="1:40" s="52" customFormat="1" ht="33.75" customHeight="1">
      <c r="A4" s="279"/>
      <c r="B4" s="271"/>
      <c r="C4" s="281"/>
      <c r="D4" s="272"/>
      <c r="E4" s="144"/>
      <c r="F4" s="262"/>
      <c r="G4" s="262"/>
      <c r="H4" s="263"/>
      <c r="I4" s="267"/>
      <c r="J4" s="267"/>
      <c r="K4" s="267"/>
      <c r="L4" s="267"/>
      <c r="M4" s="267"/>
      <c r="N4" s="284"/>
      <c r="O4" s="256"/>
      <c r="P4" s="256"/>
      <c r="Q4" s="256"/>
      <c r="R4" s="172"/>
      <c r="S4" s="144"/>
      <c r="T4" s="144"/>
      <c r="U4" s="231"/>
      <c r="V4" s="144"/>
      <c r="W4" s="172"/>
      <c r="X4" s="172"/>
      <c r="Y4" s="252"/>
      <c r="Z4" s="172"/>
      <c r="AA4" s="248"/>
      <c r="AB4" s="248"/>
      <c r="AC4" s="247"/>
      <c r="AD4" s="254"/>
      <c r="AE4" s="254"/>
      <c r="AF4" s="254"/>
      <c r="AG4" s="256"/>
      <c r="AH4" s="256"/>
      <c r="AI4" s="276"/>
      <c r="AJ4" s="143"/>
      <c r="AK4" s="250"/>
      <c r="AL4"/>
      <c r="AM4"/>
      <c r="AN4"/>
    </row>
    <row r="5" spans="1:40" s="448" customFormat="1" ht="10.5">
      <c r="A5" s="348">
        <f>Demography!A4</f>
        <v>1</v>
      </c>
      <c r="B5" s="378">
        <v>35965</v>
      </c>
      <c r="C5" s="384">
        <f>IF('Visit 3'!B5="","",'Visit 3'!B5-B5)</f>
        <v>13</v>
      </c>
      <c r="D5" s="379">
        <f>IF(B5="","",B5-'Visit 1'!B5)</f>
        <v>48</v>
      </c>
      <c r="E5" s="352">
        <v>10</v>
      </c>
      <c r="F5" s="379">
        <v>15</v>
      </c>
      <c r="G5" s="379">
        <v>40</v>
      </c>
      <c r="H5" s="379">
        <v>2</v>
      </c>
      <c r="I5" s="352">
        <v>15</v>
      </c>
      <c r="J5" s="379">
        <v>40</v>
      </c>
      <c r="K5" s="379">
        <v>0</v>
      </c>
      <c r="L5" s="379" t="s">
        <v>81</v>
      </c>
      <c r="M5" s="379"/>
      <c r="N5" s="379"/>
      <c r="O5" s="352">
        <v>15</v>
      </c>
      <c r="P5" s="379">
        <v>30</v>
      </c>
      <c r="Q5" s="379">
        <v>0</v>
      </c>
      <c r="R5" s="513">
        <f>IF(G5="","",LOG10(((G5*$E5)/F5)/20)-H5*(0.1/5))</f>
        <v>0.08493873660830001</v>
      </c>
      <c r="S5" s="392">
        <f>IF(J5="","",LOG10(((J5*$E5)/I5)/20)-K5*(0.1/5))</f>
        <v>0.1249387366083</v>
      </c>
      <c r="T5" s="392" t="s">
        <v>81</v>
      </c>
      <c r="U5" s="392">
        <f>IF(P5="","",LOG10(((P5*$E5)/O5)/20)-Q5*(0.1/5))</f>
        <v>0</v>
      </c>
      <c r="V5" s="380">
        <f>IF(R5="","",20*10^(R5))</f>
        <v>24.320289049490928</v>
      </c>
      <c r="W5" s="381">
        <f>IF(S5="","",20*10^(S5))</f>
        <v>26.66666666666667</v>
      </c>
      <c r="X5" s="381" t="s">
        <v>81</v>
      </c>
      <c r="Y5" s="381">
        <f>IF(U5="","",20*10^(U5))</f>
        <v>20</v>
      </c>
      <c r="Z5" s="513">
        <f>6/(20/V5)</f>
        <v>7.296086714847278</v>
      </c>
      <c r="AA5" s="392">
        <f>6/(20/W5)</f>
        <v>8.000000000000002</v>
      </c>
      <c r="AB5" s="381" t="s">
        <v>81</v>
      </c>
      <c r="AC5" s="392">
        <f>6/(20/Y5)</f>
        <v>6</v>
      </c>
      <c r="AD5" s="382">
        <v>4</v>
      </c>
      <c r="AE5" s="381">
        <v>8</v>
      </c>
      <c r="AF5" s="381">
        <v>2</v>
      </c>
      <c r="AG5" s="381">
        <v>12</v>
      </c>
      <c r="AH5" s="381">
        <v>3.5</v>
      </c>
      <c r="AI5" s="381">
        <v>0</v>
      </c>
      <c r="AJ5" s="385" t="s">
        <v>81</v>
      </c>
      <c r="AK5" s="480" t="s">
        <v>81</v>
      </c>
      <c r="AL5" s="447"/>
      <c r="AM5" s="447"/>
      <c r="AN5" s="447"/>
    </row>
    <row r="6" spans="1:40" s="448" customFormat="1" ht="10.5">
      <c r="A6" s="348">
        <f>Demography!A5</f>
        <v>2</v>
      </c>
      <c r="B6" s="378">
        <v>36069</v>
      </c>
      <c r="C6" s="384">
        <f>IF('Visit 3'!B6="","",'Visit 3'!B6-B6)</f>
        <v>7</v>
      </c>
      <c r="D6" s="379">
        <f>IF(B6="","",B6-'Visit 1'!B6)</f>
        <v>76</v>
      </c>
      <c r="E6" s="352">
        <v>10</v>
      </c>
      <c r="F6" s="379">
        <v>15</v>
      </c>
      <c r="G6" s="379">
        <v>60</v>
      </c>
      <c r="H6" s="379">
        <v>0</v>
      </c>
      <c r="I6" s="352">
        <v>15</v>
      </c>
      <c r="J6" s="379">
        <v>70</v>
      </c>
      <c r="K6" s="379">
        <v>-2</v>
      </c>
      <c r="L6" s="379">
        <v>15</v>
      </c>
      <c r="M6" s="379">
        <v>80</v>
      </c>
      <c r="N6" s="379">
        <v>2</v>
      </c>
      <c r="O6" s="352" t="s">
        <v>81</v>
      </c>
      <c r="P6" s="379"/>
      <c r="Q6" s="379"/>
      <c r="R6" s="513">
        <f aca="true" t="shared" si="0" ref="R6:R16">IF(G6="","",LOG10(((G6*$E6)/F6)/20)-H6*(0.1/5))</f>
        <v>0.3010299956639812</v>
      </c>
      <c r="S6" s="392">
        <f aca="true" t="shared" si="1" ref="S6:S16">IF(J6="","",LOG10(((J6*$E6)/I6)/20)-K6*(0.1/5))</f>
        <v>0.4079767852945943</v>
      </c>
      <c r="T6" s="392">
        <f>IF(M6="","",LOG10(((M6*$E6)/L6)/20)-N6*(0.1/5))</f>
        <v>0.38596873227228123</v>
      </c>
      <c r="U6" s="392" t="s">
        <v>81</v>
      </c>
      <c r="V6" s="380">
        <f aca="true" t="shared" si="2" ref="V6:V13">IF(R6="","",20*10^(R6))</f>
        <v>40</v>
      </c>
      <c r="W6" s="381">
        <f aca="true" t="shared" si="3" ref="W6:W13">IF(S6="","",20*10^(S6))</f>
        <v>51.16898248668196</v>
      </c>
      <c r="X6" s="381">
        <f aca="true" t="shared" si="4" ref="X6:X13">IF(T6="","",20*10^(T6))</f>
        <v>48.64057809898186</v>
      </c>
      <c r="Y6" s="381" t="s">
        <v>81</v>
      </c>
      <c r="Z6" s="513">
        <f aca="true" t="shared" si="5" ref="Z6:Z16">6/(20/V6)</f>
        <v>12</v>
      </c>
      <c r="AA6" s="392">
        <f aca="true" t="shared" si="6" ref="AA6:AA16">6/(20/W6)</f>
        <v>15.350694746004589</v>
      </c>
      <c r="AB6" s="392">
        <f>6/(20/X6)</f>
        <v>14.592173429694558</v>
      </c>
      <c r="AC6" s="381" t="s">
        <v>81</v>
      </c>
      <c r="AD6" s="380">
        <v>5</v>
      </c>
      <c r="AE6" s="381">
        <v>10.5</v>
      </c>
      <c r="AF6" s="381">
        <v>2</v>
      </c>
      <c r="AG6" s="381">
        <v>18</v>
      </c>
      <c r="AH6" s="381">
        <v>3.5</v>
      </c>
      <c r="AI6" s="381">
        <v>0</v>
      </c>
      <c r="AJ6" s="380">
        <v>-7</v>
      </c>
      <c r="AK6" s="514">
        <v>-2</v>
      </c>
      <c r="AL6" s="447"/>
      <c r="AM6" s="447"/>
      <c r="AN6" s="447"/>
    </row>
    <row r="7" spans="1:40" s="448" customFormat="1" ht="10.5">
      <c r="A7" s="348">
        <f>Demography!A6</f>
        <v>3</v>
      </c>
      <c r="B7" s="378">
        <v>36084</v>
      </c>
      <c r="C7" s="384">
        <f>IF('Visit 3'!B7="","",'Visit 3'!B7-B7)</f>
        <v>7</v>
      </c>
      <c r="D7" s="379">
        <f>IF(B7="","",B7-'Visit 1'!B7)</f>
        <v>85</v>
      </c>
      <c r="E7" s="352">
        <v>10</v>
      </c>
      <c r="F7" s="379">
        <v>15</v>
      </c>
      <c r="G7" s="379">
        <v>40</v>
      </c>
      <c r="H7" s="379">
        <v>2</v>
      </c>
      <c r="I7" s="352">
        <v>15</v>
      </c>
      <c r="J7" s="379">
        <v>70</v>
      </c>
      <c r="K7" s="379">
        <v>-3</v>
      </c>
      <c r="L7" s="379">
        <v>15</v>
      </c>
      <c r="M7" s="379">
        <v>70</v>
      </c>
      <c r="N7" s="379">
        <v>-2</v>
      </c>
      <c r="O7" s="352">
        <v>15</v>
      </c>
      <c r="P7" s="379">
        <v>30</v>
      </c>
      <c r="Q7" s="379">
        <v>0</v>
      </c>
      <c r="R7" s="513">
        <f t="shared" si="0"/>
        <v>0.08493873660830001</v>
      </c>
      <c r="S7" s="392">
        <f t="shared" si="1"/>
        <v>0.4279767852945943</v>
      </c>
      <c r="T7" s="392">
        <f aca="true" t="shared" si="7" ref="T7:T16">IF(M7="","",LOG10(((M7*$E7)/L7)/20)-N7*(0.1/5))</f>
        <v>0.4079767852945943</v>
      </c>
      <c r="U7" s="392">
        <f>IF(P7="","",LOG10(((P7*$E7)/O7)/20)-Q7*(0.1/5))</f>
        <v>0</v>
      </c>
      <c r="V7" s="380">
        <f t="shared" si="2"/>
        <v>24.320289049490928</v>
      </c>
      <c r="W7" s="381">
        <f t="shared" si="3"/>
        <v>53.58050233652119</v>
      </c>
      <c r="X7" s="381">
        <f t="shared" si="4"/>
        <v>51.16898248668196</v>
      </c>
      <c r="Y7" s="381">
        <f aca="true" t="shared" si="8" ref="Y7:Y13">IF(U7="","",20*10^(U7))</f>
        <v>20</v>
      </c>
      <c r="Z7" s="513">
        <f t="shared" si="5"/>
        <v>7.296086714847278</v>
      </c>
      <c r="AA7" s="392">
        <f t="shared" si="6"/>
        <v>16.07415070095636</v>
      </c>
      <c r="AB7" s="392">
        <f>6/(20/X7)</f>
        <v>15.350694746004589</v>
      </c>
      <c r="AC7" s="392">
        <f>6/(20/Y7)</f>
        <v>6</v>
      </c>
      <c r="AD7" s="380">
        <v>2.5</v>
      </c>
      <c r="AE7" s="381">
        <v>9</v>
      </c>
      <c r="AF7" s="381">
        <v>3</v>
      </c>
      <c r="AG7" s="381">
        <v>20</v>
      </c>
      <c r="AH7" s="381">
        <v>7</v>
      </c>
      <c r="AI7" s="381">
        <v>2.5</v>
      </c>
      <c r="AJ7" s="387">
        <v>-1</v>
      </c>
      <c r="AK7" s="351">
        <v>1</v>
      </c>
      <c r="AL7" s="447"/>
      <c r="AM7" s="447"/>
      <c r="AN7" s="447"/>
    </row>
    <row r="8" spans="1:40" s="448" customFormat="1" ht="10.5">
      <c r="A8" s="348">
        <f>Demography!A7</f>
        <v>4</v>
      </c>
      <c r="B8" s="378">
        <v>36096</v>
      </c>
      <c r="C8" s="384">
        <f>IF('Visit 3'!B8="","",'Visit 3'!B8-B8)</f>
        <v>7</v>
      </c>
      <c r="D8" s="379">
        <f>IF(B8="","",B8-'Visit 1'!B8)</f>
        <v>95</v>
      </c>
      <c r="E8" s="352">
        <v>10</v>
      </c>
      <c r="F8" s="379">
        <v>15</v>
      </c>
      <c r="G8" s="379">
        <v>40</v>
      </c>
      <c r="H8" s="379">
        <v>1</v>
      </c>
      <c r="I8" s="352">
        <v>15</v>
      </c>
      <c r="J8" s="379">
        <v>70</v>
      </c>
      <c r="K8" s="379">
        <v>0</v>
      </c>
      <c r="L8" s="379">
        <v>15</v>
      </c>
      <c r="M8" s="379">
        <v>50</v>
      </c>
      <c r="N8" s="379">
        <v>0</v>
      </c>
      <c r="O8" s="352">
        <v>15</v>
      </c>
      <c r="P8" s="379">
        <v>30</v>
      </c>
      <c r="Q8" s="379">
        <v>-1</v>
      </c>
      <c r="R8" s="513">
        <f>IF(G8="","",LOG10(((G8*$E8)/F8)/20)-H8*(0.1/5))</f>
        <v>0.1049387366083</v>
      </c>
      <c r="S8" s="392">
        <f t="shared" si="1"/>
        <v>0.3679767852945943</v>
      </c>
      <c r="T8" s="392">
        <f t="shared" si="7"/>
        <v>0.2218487496163564</v>
      </c>
      <c r="U8" s="392">
        <f aca="true" t="shared" si="9" ref="U8:U16">IF(P8="","",LOG10(((P8*$E8)/O8)/20)-Q8*(0.1/5))</f>
        <v>0.02</v>
      </c>
      <c r="V8" s="380">
        <f t="shared" si="2"/>
        <v>25.466468960571632</v>
      </c>
      <c r="W8" s="381">
        <f t="shared" si="3"/>
        <v>46.66666666666666</v>
      </c>
      <c r="X8" s="381">
        <f t="shared" si="4"/>
        <v>33.33333333333334</v>
      </c>
      <c r="Y8" s="381">
        <f t="shared" si="8"/>
        <v>20.942570961017992</v>
      </c>
      <c r="Z8" s="513">
        <f t="shared" si="5"/>
        <v>7.639940688171489</v>
      </c>
      <c r="AA8" s="392">
        <f t="shared" si="6"/>
        <v>13.999999999999996</v>
      </c>
      <c r="AB8" s="392">
        <f aca="true" t="shared" si="10" ref="AB8:AB16">6/(20/X8)</f>
        <v>10.000000000000002</v>
      </c>
      <c r="AC8" s="392">
        <f aca="true" t="shared" si="11" ref="AC8:AC16">6/(20/Y8)</f>
        <v>6.282771288305398</v>
      </c>
      <c r="AD8" s="380">
        <v>8</v>
      </c>
      <c r="AE8" s="381">
        <v>23</v>
      </c>
      <c r="AF8" s="381">
        <v>3</v>
      </c>
      <c r="AG8" s="381">
        <v>28</v>
      </c>
      <c r="AH8" s="381">
        <v>10</v>
      </c>
      <c r="AI8" s="381">
        <v>0</v>
      </c>
      <c r="AJ8" s="380">
        <v>4</v>
      </c>
      <c r="AK8" s="514">
        <v>6</v>
      </c>
      <c r="AL8" s="447"/>
      <c r="AM8" s="447"/>
      <c r="AN8" s="447"/>
    </row>
    <row r="9" spans="1:40" s="448" customFormat="1" ht="10.5">
      <c r="A9" s="348">
        <f>Demography!A8</f>
        <v>5</v>
      </c>
      <c r="B9" s="378">
        <v>36169</v>
      </c>
      <c r="C9" s="384">
        <f>IF('Visit 3'!B9="","",'Visit 3'!B9-B9)</f>
        <v>7</v>
      </c>
      <c r="D9" s="379">
        <f>IF(B9="","",B9-'Visit 1'!B9)</f>
        <v>107</v>
      </c>
      <c r="E9" s="352">
        <v>10</v>
      </c>
      <c r="F9" s="379">
        <v>15</v>
      </c>
      <c r="G9" s="379">
        <v>80</v>
      </c>
      <c r="H9" s="379">
        <v>0</v>
      </c>
      <c r="I9" s="352">
        <v>15</v>
      </c>
      <c r="J9" s="379">
        <v>60</v>
      </c>
      <c r="K9" s="379">
        <v>0</v>
      </c>
      <c r="L9" s="379">
        <v>15</v>
      </c>
      <c r="M9" s="379">
        <v>70</v>
      </c>
      <c r="N9" s="379">
        <v>-1</v>
      </c>
      <c r="O9" s="352">
        <v>15</v>
      </c>
      <c r="P9" s="379">
        <v>80</v>
      </c>
      <c r="Q9" s="379">
        <v>1</v>
      </c>
      <c r="R9" s="513">
        <f t="shared" si="0"/>
        <v>0.4259687322722812</v>
      </c>
      <c r="S9" s="392">
        <f t="shared" si="1"/>
        <v>0.3010299956639812</v>
      </c>
      <c r="T9" s="392">
        <f t="shared" si="7"/>
        <v>0.38797678529459434</v>
      </c>
      <c r="U9" s="392">
        <f t="shared" si="9"/>
        <v>0.4059687322722812</v>
      </c>
      <c r="V9" s="380">
        <f t="shared" si="2"/>
        <v>53.33333333333335</v>
      </c>
      <c r="W9" s="381">
        <f t="shared" si="3"/>
        <v>40</v>
      </c>
      <c r="X9" s="381">
        <f t="shared" si="4"/>
        <v>48.86599890904198</v>
      </c>
      <c r="Y9" s="381">
        <f t="shared" si="8"/>
        <v>50.932937921143264</v>
      </c>
      <c r="Z9" s="513">
        <f t="shared" si="5"/>
        <v>16.000000000000004</v>
      </c>
      <c r="AA9" s="392">
        <f t="shared" si="6"/>
        <v>12</v>
      </c>
      <c r="AB9" s="392">
        <f t="shared" si="10"/>
        <v>14.659799672712593</v>
      </c>
      <c r="AC9" s="392">
        <f t="shared" si="11"/>
        <v>15.279881376342978</v>
      </c>
      <c r="AD9" s="380">
        <v>5</v>
      </c>
      <c r="AE9" s="381">
        <v>12</v>
      </c>
      <c r="AF9" s="381">
        <v>5</v>
      </c>
      <c r="AG9" s="381">
        <v>12</v>
      </c>
      <c r="AH9" s="381">
        <v>6</v>
      </c>
      <c r="AI9" s="381">
        <v>2.5</v>
      </c>
      <c r="AJ9" s="391">
        <v>2</v>
      </c>
      <c r="AK9" s="515">
        <v>5</v>
      </c>
      <c r="AL9" s="447"/>
      <c r="AM9" s="447"/>
      <c r="AN9" s="447"/>
    </row>
    <row r="10" spans="1:40" s="448" customFormat="1" ht="10.5">
      <c r="A10" s="348">
        <f>Demography!A9</f>
        <v>6</v>
      </c>
      <c r="B10" s="378">
        <v>36356</v>
      </c>
      <c r="C10" s="384">
        <f>IF('Visit 3'!B10="","",'Visit 3'!B10-B10)</f>
        <v>14</v>
      </c>
      <c r="D10" s="379">
        <f>IF(B10="","",B10-'Visit 1'!B10)</f>
        <v>100</v>
      </c>
      <c r="E10" s="352">
        <v>10</v>
      </c>
      <c r="F10" s="379">
        <v>15</v>
      </c>
      <c r="G10" s="379">
        <v>80</v>
      </c>
      <c r="H10" s="379">
        <v>-1</v>
      </c>
      <c r="I10" s="352">
        <v>15</v>
      </c>
      <c r="J10" s="379">
        <v>100</v>
      </c>
      <c r="K10" s="379">
        <v>-1</v>
      </c>
      <c r="L10" s="379">
        <v>15</v>
      </c>
      <c r="M10" s="379">
        <v>100</v>
      </c>
      <c r="N10" s="379">
        <v>1</v>
      </c>
      <c r="O10" s="352">
        <v>15</v>
      </c>
      <c r="P10" s="379">
        <v>70</v>
      </c>
      <c r="Q10" s="379">
        <v>1</v>
      </c>
      <c r="R10" s="513">
        <f>IF(G10="","",LOG10(((G10*$E10)/F10)/20)-H10*(0.1/5))</f>
        <v>0.44596873227228123</v>
      </c>
      <c r="S10" s="392">
        <f>IF(J10="","",LOG10(((J10*$E10)/I10)/20)-K10*(0.1/5))</f>
        <v>0.5428787452803376</v>
      </c>
      <c r="T10" s="392">
        <f t="shared" si="7"/>
        <v>0.5028787452803376</v>
      </c>
      <c r="U10" s="392">
        <f t="shared" si="9"/>
        <v>0.3479767852945943</v>
      </c>
      <c r="V10" s="380">
        <f t="shared" si="2"/>
        <v>55.846855896047984</v>
      </c>
      <c r="W10" s="381">
        <f t="shared" si="3"/>
        <v>69.80856987006</v>
      </c>
      <c r="X10" s="381">
        <f t="shared" si="4"/>
        <v>63.66617240142907</v>
      </c>
      <c r="Y10" s="381">
        <f t="shared" si="8"/>
        <v>44.56632068100034</v>
      </c>
      <c r="Z10" s="513">
        <f t="shared" si="5"/>
        <v>16.754056768814394</v>
      </c>
      <c r="AA10" s="392">
        <f t="shared" si="6"/>
        <v>20.942570961018</v>
      </c>
      <c r="AB10" s="392">
        <f t="shared" si="10"/>
        <v>19.09985172042872</v>
      </c>
      <c r="AC10" s="392">
        <f t="shared" si="11"/>
        <v>13.369896204300103</v>
      </c>
      <c r="AD10" s="380">
        <v>5</v>
      </c>
      <c r="AE10" s="381">
        <v>15</v>
      </c>
      <c r="AF10" s="381">
        <v>1.5</v>
      </c>
      <c r="AG10" s="381">
        <v>19</v>
      </c>
      <c r="AH10" s="381">
        <v>4.5</v>
      </c>
      <c r="AI10" s="381">
        <v>0</v>
      </c>
      <c r="AJ10" s="391">
        <v>-4</v>
      </c>
      <c r="AK10" s="515">
        <v>-2</v>
      </c>
      <c r="AL10" s="447"/>
      <c r="AM10" s="447"/>
      <c r="AN10" s="447"/>
    </row>
    <row r="11" spans="1:40" s="448" customFormat="1" ht="10.5">
      <c r="A11" s="348">
        <f>Demography!A10</f>
        <v>7</v>
      </c>
      <c r="B11" s="378">
        <v>36361</v>
      </c>
      <c r="C11" s="384">
        <f>IF('Visit 3'!B11="","",'Visit 3'!B11-B11)</f>
        <v>7</v>
      </c>
      <c r="D11" s="379">
        <f>IF(B11="","",B11-'Visit 1'!B11)</f>
        <v>101</v>
      </c>
      <c r="E11" s="352">
        <v>10</v>
      </c>
      <c r="F11" s="379">
        <v>15</v>
      </c>
      <c r="G11" s="379">
        <v>80</v>
      </c>
      <c r="H11" s="379">
        <v>0</v>
      </c>
      <c r="I11" s="352">
        <v>15</v>
      </c>
      <c r="J11" s="379">
        <v>100</v>
      </c>
      <c r="K11" s="379">
        <v>2</v>
      </c>
      <c r="L11" s="379">
        <v>15</v>
      </c>
      <c r="M11" s="379">
        <v>100</v>
      </c>
      <c r="N11" s="379">
        <v>-1</v>
      </c>
      <c r="O11" s="352">
        <v>15</v>
      </c>
      <c r="P11" s="379">
        <v>80</v>
      </c>
      <c r="Q11" s="379">
        <v>-2</v>
      </c>
      <c r="R11" s="513">
        <f t="shared" si="0"/>
        <v>0.4259687322722812</v>
      </c>
      <c r="S11" s="392">
        <f t="shared" si="1"/>
        <v>0.48287874528033764</v>
      </c>
      <c r="T11" s="392">
        <f t="shared" si="7"/>
        <v>0.5428787452803376</v>
      </c>
      <c r="U11" s="392">
        <f>IF(P11="","",LOG10(((P11*$E11)/O11)/20)-Q11*(0.1/5))</f>
        <v>0.4659687322722812</v>
      </c>
      <c r="V11" s="380">
        <f t="shared" si="2"/>
        <v>53.33333333333335</v>
      </c>
      <c r="W11" s="381">
        <f t="shared" si="3"/>
        <v>60.80072262372734</v>
      </c>
      <c r="X11" s="381">
        <f t="shared" si="4"/>
        <v>69.80856987006</v>
      </c>
      <c r="Y11" s="381">
        <f t="shared" si="8"/>
        <v>58.478837127636545</v>
      </c>
      <c r="Z11" s="513">
        <f t="shared" si="5"/>
        <v>16.000000000000004</v>
      </c>
      <c r="AA11" s="392">
        <f t="shared" si="6"/>
        <v>18.2402167871182</v>
      </c>
      <c r="AB11" s="392">
        <f t="shared" si="10"/>
        <v>20.942570961018</v>
      </c>
      <c r="AC11" s="392">
        <f t="shared" si="11"/>
        <v>17.543651138290965</v>
      </c>
      <c r="AD11" s="380">
        <v>8.5</v>
      </c>
      <c r="AE11" s="381">
        <v>19</v>
      </c>
      <c r="AF11" s="381">
        <v>4.5</v>
      </c>
      <c r="AG11" s="381">
        <v>22</v>
      </c>
      <c r="AH11" s="381">
        <v>7.5</v>
      </c>
      <c r="AI11" s="381">
        <v>0</v>
      </c>
      <c r="AJ11" s="391">
        <v>0</v>
      </c>
      <c r="AK11" s="515">
        <v>-2</v>
      </c>
      <c r="AL11" s="447"/>
      <c r="AM11" s="447"/>
      <c r="AN11" s="447"/>
    </row>
    <row r="12" spans="1:40" s="448" customFormat="1" ht="10.5">
      <c r="A12" s="348">
        <f>Demography!A11</f>
        <v>8</v>
      </c>
      <c r="B12" s="378">
        <v>36431</v>
      </c>
      <c r="C12" s="384">
        <f>IF('Visit 3'!B12="","",'Visit 3'!B12-B12)</f>
        <v>8</v>
      </c>
      <c r="D12" s="379">
        <f>IF(B12="","",B12-'Visit 1'!B12)</f>
        <v>82</v>
      </c>
      <c r="E12" s="352">
        <v>10</v>
      </c>
      <c r="F12" s="379">
        <v>15</v>
      </c>
      <c r="G12" s="379">
        <v>80</v>
      </c>
      <c r="H12" s="379">
        <v>0</v>
      </c>
      <c r="I12" s="352">
        <v>15</v>
      </c>
      <c r="J12" s="379">
        <v>80</v>
      </c>
      <c r="K12" s="379">
        <v>0</v>
      </c>
      <c r="L12" s="379">
        <v>15</v>
      </c>
      <c r="M12" s="379">
        <v>80</v>
      </c>
      <c r="N12" s="379">
        <v>1</v>
      </c>
      <c r="O12" s="352">
        <v>15</v>
      </c>
      <c r="P12" s="379">
        <v>70</v>
      </c>
      <c r="Q12" s="379">
        <v>-2</v>
      </c>
      <c r="R12" s="513">
        <f>IF(G12="","",LOG10(((G12*$E12)/F12)/20)-H12*(0.1/5))</f>
        <v>0.4259687322722812</v>
      </c>
      <c r="S12" s="392">
        <f t="shared" si="1"/>
        <v>0.4259687322722812</v>
      </c>
      <c r="T12" s="392">
        <f t="shared" si="7"/>
        <v>0.4059687322722812</v>
      </c>
      <c r="U12" s="392">
        <f t="shared" si="9"/>
        <v>0.4079767852945943</v>
      </c>
      <c r="V12" s="380">
        <f t="shared" si="2"/>
        <v>53.33333333333335</v>
      </c>
      <c r="W12" s="381">
        <f t="shared" si="3"/>
        <v>53.33333333333335</v>
      </c>
      <c r="X12" s="381">
        <f t="shared" si="4"/>
        <v>50.932937921143264</v>
      </c>
      <c r="Y12" s="381">
        <f t="shared" si="8"/>
        <v>51.16898248668196</v>
      </c>
      <c r="Z12" s="513">
        <f t="shared" si="5"/>
        <v>16.000000000000004</v>
      </c>
      <c r="AA12" s="392">
        <f t="shared" si="6"/>
        <v>16.000000000000004</v>
      </c>
      <c r="AB12" s="392">
        <f t="shared" si="10"/>
        <v>15.279881376342978</v>
      </c>
      <c r="AC12" s="392">
        <f t="shared" si="11"/>
        <v>15.350694746004589</v>
      </c>
      <c r="AD12" s="380">
        <v>3</v>
      </c>
      <c r="AE12" s="381">
        <v>10</v>
      </c>
      <c r="AF12" s="381">
        <v>0</v>
      </c>
      <c r="AG12" s="381">
        <v>8</v>
      </c>
      <c r="AH12" s="381">
        <v>2.5</v>
      </c>
      <c r="AI12" s="381">
        <v>0</v>
      </c>
      <c r="AJ12" s="391">
        <v>-7</v>
      </c>
      <c r="AK12" s="515">
        <v>-6</v>
      </c>
      <c r="AL12" s="447"/>
      <c r="AM12" s="447"/>
      <c r="AN12" s="447"/>
    </row>
    <row r="13" spans="1:40" s="448" customFormat="1" ht="10.5">
      <c r="A13" s="348">
        <f>Demography!A12</f>
        <v>9</v>
      </c>
      <c r="B13" s="378">
        <v>36427</v>
      </c>
      <c r="C13" s="384">
        <f>IF('Visit 3'!B13="","",'Visit 3'!B13-B13)</f>
        <v>7</v>
      </c>
      <c r="D13" s="379">
        <f>IF(B13="","",B13-'Visit 1'!B13)</f>
        <v>64</v>
      </c>
      <c r="E13" s="352">
        <v>10</v>
      </c>
      <c r="F13" s="379">
        <v>15</v>
      </c>
      <c r="G13" s="379">
        <v>70</v>
      </c>
      <c r="H13" s="379">
        <v>0</v>
      </c>
      <c r="I13" s="352">
        <v>15</v>
      </c>
      <c r="J13" s="379">
        <v>125</v>
      </c>
      <c r="K13" s="379">
        <v>1</v>
      </c>
      <c r="L13" s="379">
        <v>15</v>
      </c>
      <c r="M13" s="379">
        <v>160</v>
      </c>
      <c r="N13" s="379">
        <v>0</v>
      </c>
      <c r="O13" s="352">
        <v>15</v>
      </c>
      <c r="P13" s="379">
        <v>80</v>
      </c>
      <c r="Q13" s="379">
        <v>1</v>
      </c>
      <c r="R13" s="513">
        <f t="shared" si="0"/>
        <v>0.3679767852945943</v>
      </c>
      <c r="S13" s="392">
        <f t="shared" si="1"/>
        <v>0.599788758288394</v>
      </c>
      <c r="T13" s="392">
        <f t="shared" si="7"/>
        <v>0.7269987279362624</v>
      </c>
      <c r="U13" s="392">
        <f t="shared" si="9"/>
        <v>0.4059687322722812</v>
      </c>
      <c r="V13" s="380">
        <f t="shared" si="2"/>
        <v>46.66666666666666</v>
      </c>
      <c r="W13" s="381">
        <f t="shared" si="3"/>
        <v>79.58271550178634</v>
      </c>
      <c r="X13" s="381">
        <f t="shared" si="4"/>
        <v>106.6666666666667</v>
      </c>
      <c r="Y13" s="381">
        <f t="shared" si="8"/>
        <v>50.932937921143264</v>
      </c>
      <c r="Z13" s="513">
        <f t="shared" si="5"/>
        <v>13.999999999999996</v>
      </c>
      <c r="AA13" s="392">
        <f t="shared" si="6"/>
        <v>23.8748146505359</v>
      </c>
      <c r="AB13" s="392">
        <f t="shared" si="10"/>
        <v>32.00000000000001</v>
      </c>
      <c r="AC13" s="392">
        <f t="shared" si="11"/>
        <v>15.279881376342978</v>
      </c>
      <c r="AD13" s="380">
        <v>3</v>
      </c>
      <c r="AE13" s="381">
        <v>10</v>
      </c>
      <c r="AF13" s="381">
        <v>15</v>
      </c>
      <c r="AG13" s="381">
        <v>18</v>
      </c>
      <c r="AH13" s="381">
        <v>3</v>
      </c>
      <c r="AI13" s="381">
        <v>0</v>
      </c>
      <c r="AJ13" s="391">
        <v>-4</v>
      </c>
      <c r="AK13" s="515">
        <v>-2</v>
      </c>
      <c r="AL13" s="447"/>
      <c r="AM13" s="447"/>
      <c r="AN13" s="447"/>
    </row>
    <row r="14" spans="1:40" s="448" customFormat="1" ht="10.5">
      <c r="A14" s="348">
        <f>Demography!A13</f>
        <v>10</v>
      </c>
      <c r="B14" s="378">
        <v>37091</v>
      </c>
      <c r="C14" s="384">
        <f>IF('Visit 3'!B14="","",'Visit 3'!B14-B14)</f>
        <v>7</v>
      </c>
      <c r="D14" s="379">
        <f>IF(B14="","",B14-'Visit 1'!B14)</f>
        <v>217</v>
      </c>
      <c r="E14" s="352">
        <v>21</v>
      </c>
      <c r="F14" s="379">
        <v>21</v>
      </c>
      <c r="G14" s="379">
        <v>100</v>
      </c>
      <c r="H14" s="379">
        <v>0</v>
      </c>
      <c r="I14" s="352">
        <v>21</v>
      </c>
      <c r="J14" s="379">
        <v>159</v>
      </c>
      <c r="K14" s="379">
        <v>0</v>
      </c>
      <c r="L14" s="379">
        <v>21</v>
      </c>
      <c r="M14" s="379">
        <v>200</v>
      </c>
      <c r="N14" s="379">
        <v>-2</v>
      </c>
      <c r="O14" s="352">
        <v>21</v>
      </c>
      <c r="P14" s="379">
        <v>100</v>
      </c>
      <c r="Q14" s="379">
        <v>-1</v>
      </c>
      <c r="R14" s="513">
        <f>IF(G14="","",LOG10(((G14*$E14)/F14)/20)-H14*(0.1/5))</f>
        <v>0.6989700043360189</v>
      </c>
      <c r="S14" s="392">
        <f t="shared" si="1"/>
        <v>0.9003671286564703</v>
      </c>
      <c r="T14" s="392">
        <f t="shared" si="7"/>
        <v>1.04</v>
      </c>
      <c r="U14" s="392">
        <f t="shared" si="9"/>
        <v>0.7189700043360189</v>
      </c>
      <c r="V14" s="380">
        <f aca="true" t="shared" si="12" ref="V14:Y16">IF(R14="","",20*10^(R14))</f>
        <v>100.00000000000003</v>
      </c>
      <c r="W14" s="381">
        <f t="shared" si="12"/>
        <v>159.00000000000003</v>
      </c>
      <c r="X14" s="381">
        <f t="shared" si="12"/>
        <v>219.29563922863707</v>
      </c>
      <c r="Y14" s="381">
        <f t="shared" si="12"/>
        <v>104.71285480508999</v>
      </c>
      <c r="Z14" s="513">
        <f t="shared" si="5"/>
        <v>30.000000000000007</v>
      </c>
      <c r="AA14" s="392">
        <f t="shared" si="6"/>
        <v>47.70000000000001</v>
      </c>
      <c r="AB14" s="392">
        <f t="shared" si="10"/>
        <v>65.78869176859112</v>
      </c>
      <c r="AC14" s="392">
        <f t="shared" si="11"/>
        <v>31.413856441527</v>
      </c>
      <c r="AD14" s="380">
        <v>7.5</v>
      </c>
      <c r="AE14" s="381">
        <v>30</v>
      </c>
      <c r="AF14" s="381">
        <v>0</v>
      </c>
      <c r="AG14" s="381">
        <v>25</v>
      </c>
      <c r="AH14" s="381">
        <v>9</v>
      </c>
      <c r="AI14" s="381">
        <v>0</v>
      </c>
      <c r="AJ14" s="391">
        <v>0</v>
      </c>
      <c r="AK14" s="515">
        <v>7</v>
      </c>
      <c r="AL14" s="447"/>
      <c r="AM14" s="447"/>
      <c r="AN14" s="447"/>
    </row>
    <row r="15" spans="1:40" s="448" customFormat="1" ht="10.5">
      <c r="A15" s="348">
        <f>Demography!A14</f>
        <v>11</v>
      </c>
      <c r="B15" s="378">
        <v>37061</v>
      </c>
      <c r="C15" s="384">
        <f>IF('Visit 3'!B15="","",'Visit 3'!B15-B15)</f>
        <v>10</v>
      </c>
      <c r="D15" s="379">
        <f>IF(B15="","",B15-'Visit 1'!B15)</f>
        <v>122</v>
      </c>
      <c r="E15" s="352">
        <v>21</v>
      </c>
      <c r="F15" s="379">
        <v>21</v>
      </c>
      <c r="G15" s="379">
        <v>25</v>
      </c>
      <c r="H15" s="379">
        <v>-2</v>
      </c>
      <c r="I15" s="352">
        <v>21</v>
      </c>
      <c r="J15" s="379">
        <v>40</v>
      </c>
      <c r="K15" s="379">
        <v>2</v>
      </c>
      <c r="L15" s="379">
        <v>21</v>
      </c>
      <c r="M15" s="379">
        <v>40</v>
      </c>
      <c r="N15" s="379">
        <v>1</v>
      </c>
      <c r="O15" s="352">
        <v>21</v>
      </c>
      <c r="P15" s="379">
        <v>25</v>
      </c>
      <c r="Q15" s="379">
        <v>-1</v>
      </c>
      <c r="R15" s="513">
        <f t="shared" si="0"/>
        <v>0.1369100130080564</v>
      </c>
      <c r="S15" s="392">
        <f t="shared" si="1"/>
        <v>0.2610299956639812</v>
      </c>
      <c r="T15" s="392">
        <f t="shared" si="7"/>
        <v>0.2810299956639812</v>
      </c>
      <c r="U15" s="392">
        <f t="shared" si="9"/>
        <v>0.11691001300805642</v>
      </c>
      <c r="V15" s="380">
        <f t="shared" si="12"/>
        <v>27.411954903579627</v>
      </c>
      <c r="W15" s="381">
        <f t="shared" si="12"/>
        <v>36.48043357423639</v>
      </c>
      <c r="X15" s="381">
        <f t="shared" si="12"/>
        <v>38.19970344085744</v>
      </c>
      <c r="Y15" s="381">
        <f t="shared" si="12"/>
        <v>26.17821370127249</v>
      </c>
      <c r="Z15" s="513">
        <f t="shared" si="5"/>
        <v>8.223586471073888</v>
      </c>
      <c r="AA15" s="392">
        <f t="shared" si="6"/>
        <v>10.944130072270918</v>
      </c>
      <c r="AB15" s="392">
        <f t="shared" si="10"/>
        <v>11.459911032257233</v>
      </c>
      <c r="AC15" s="392">
        <f t="shared" si="11"/>
        <v>7.853464110381747</v>
      </c>
      <c r="AD15" s="380">
        <v>2.5</v>
      </c>
      <c r="AE15" s="381">
        <v>17</v>
      </c>
      <c r="AF15" s="381">
        <v>0</v>
      </c>
      <c r="AG15" s="381">
        <v>9</v>
      </c>
      <c r="AH15" s="381">
        <v>4.5</v>
      </c>
      <c r="AI15" s="381">
        <v>0</v>
      </c>
      <c r="AJ15" s="391">
        <v>4</v>
      </c>
      <c r="AK15" s="515">
        <v>6</v>
      </c>
      <c r="AL15" s="447"/>
      <c r="AM15" s="447"/>
      <c r="AN15" s="447"/>
    </row>
    <row r="16" spans="1:40" s="448" customFormat="1" ht="11.25" thickBot="1">
      <c r="A16" s="355">
        <f>Demography!A15</f>
        <v>12</v>
      </c>
      <c r="B16" s="516">
        <v>37126</v>
      </c>
      <c r="C16" s="399">
        <f>IF('Visit 3'!B16="","",'Visit 3'!B16-B16)</f>
        <v>8</v>
      </c>
      <c r="D16" s="395">
        <f>IF(B16="","",B16-'Visit 1'!B16)</f>
        <v>56</v>
      </c>
      <c r="E16" s="356">
        <v>21</v>
      </c>
      <c r="F16" s="395">
        <v>21</v>
      </c>
      <c r="G16" s="395">
        <v>32</v>
      </c>
      <c r="H16" s="395">
        <v>2</v>
      </c>
      <c r="I16" s="356">
        <v>21</v>
      </c>
      <c r="J16" s="395">
        <v>40</v>
      </c>
      <c r="K16" s="395">
        <v>0</v>
      </c>
      <c r="L16" s="395">
        <v>21</v>
      </c>
      <c r="M16" s="395">
        <v>50</v>
      </c>
      <c r="N16" s="395">
        <v>-1</v>
      </c>
      <c r="O16" s="356">
        <v>21</v>
      </c>
      <c r="P16" s="395">
        <v>32</v>
      </c>
      <c r="Q16" s="395">
        <v>2</v>
      </c>
      <c r="R16" s="517">
        <f t="shared" si="0"/>
        <v>0.16411998265592478</v>
      </c>
      <c r="S16" s="402">
        <f t="shared" si="1"/>
        <v>0.3010299956639812</v>
      </c>
      <c r="T16" s="402">
        <f t="shared" si="7"/>
        <v>0.4179400086720376</v>
      </c>
      <c r="U16" s="402">
        <f t="shared" si="9"/>
        <v>0.16411998265592478</v>
      </c>
      <c r="V16" s="396">
        <f t="shared" si="12"/>
        <v>29.184346859389116</v>
      </c>
      <c r="W16" s="397">
        <f t="shared" si="12"/>
        <v>40</v>
      </c>
      <c r="X16" s="397">
        <f t="shared" si="12"/>
        <v>52.35642740254498</v>
      </c>
      <c r="Y16" s="397">
        <f t="shared" si="12"/>
        <v>29.184346859389116</v>
      </c>
      <c r="Z16" s="517">
        <f t="shared" si="5"/>
        <v>8.755304057816735</v>
      </c>
      <c r="AA16" s="402">
        <f t="shared" si="6"/>
        <v>12</v>
      </c>
      <c r="AB16" s="402">
        <f t="shared" si="10"/>
        <v>15.706928220763494</v>
      </c>
      <c r="AC16" s="402">
        <f t="shared" si="11"/>
        <v>8.755304057816735</v>
      </c>
      <c r="AD16" s="356">
        <v>3</v>
      </c>
      <c r="AE16" s="395">
        <v>9</v>
      </c>
      <c r="AF16" s="395">
        <v>1</v>
      </c>
      <c r="AG16" s="395">
        <v>14</v>
      </c>
      <c r="AH16" s="397">
        <v>3.5</v>
      </c>
      <c r="AI16" s="395">
        <v>0</v>
      </c>
      <c r="AJ16" s="398">
        <v>3.5</v>
      </c>
      <c r="AK16" s="518">
        <v>5</v>
      </c>
      <c r="AL16" s="447"/>
      <c r="AM16" s="447"/>
      <c r="AN16" s="447"/>
    </row>
    <row r="17" spans="1:29" ht="10.5">
      <c r="A17" s="11"/>
      <c r="B17" s="11"/>
      <c r="C17" s="112"/>
      <c r="D17" s="11"/>
      <c r="E17" s="11"/>
      <c r="F17" s="11"/>
      <c r="G17" s="11"/>
      <c r="H17" s="11"/>
      <c r="I17" s="11"/>
      <c r="V17" s="60"/>
      <c r="W17" s="60"/>
      <c r="X17" s="60"/>
      <c r="Y17" s="60"/>
      <c r="Z17" s="60"/>
      <c r="AA17" s="60"/>
      <c r="AB17" s="60"/>
      <c r="AC17" s="60"/>
    </row>
    <row r="18" spans="1:40" s="32" customFormat="1" ht="13.5" customHeight="1">
      <c r="A18" s="134"/>
      <c r="B18" s="134"/>
      <c r="C18" s="134"/>
      <c r="D18" s="134"/>
      <c r="E18" s="134"/>
      <c r="F18" s="131"/>
      <c r="G18" s="132"/>
      <c r="H18" s="132"/>
      <c r="I18" s="132"/>
      <c r="J18" s="80"/>
      <c r="K18" s="80"/>
      <c r="L18" s="80"/>
      <c r="M18" s="80"/>
      <c r="N18" s="80"/>
      <c r="O18" s="80"/>
      <c r="P18" s="80"/>
      <c r="Q18" s="80"/>
      <c r="R18" s="80"/>
      <c r="S18" s="80"/>
      <c r="T18" s="80"/>
      <c r="U18" s="80"/>
      <c r="V18" s="96">
        <f>IF(N18="","",LOG10(N18/20)-O18*(0.1/5)+LOG10(2/3))</f>
      </c>
      <c r="W18" s="96"/>
      <c r="X18" s="96">
        <f>IF(Q18="","",LOG10(Q18/20)-R18*(0.1/5)+LOG10(2/3))</f>
      </c>
      <c r="Y18" s="96">
        <f>IF(T18="","",LOG10(T18/20)-U18*(0.1/5)+LOG10(2/3))</f>
      </c>
      <c r="Z18" s="96"/>
      <c r="AA18" s="96"/>
      <c r="AB18" s="96"/>
      <c r="AC18" s="96"/>
      <c r="AD18" s="80"/>
      <c r="AE18" s="80"/>
      <c r="AF18" s="80"/>
      <c r="AG18" s="80"/>
      <c r="AH18" s="80"/>
      <c r="AI18" s="80"/>
      <c r="AL18" s="29"/>
      <c r="AM18" s="29"/>
      <c r="AN18" s="29"/>
    </row>
    <row r="19" spans="1:35" ht="10.5">
      <c r="A19" s="11"/>
      <c r="B19" s="11"/>
      <c r="C19" s="43"/>
      <c r="D19" s="11"/>
      <c r="E19" s="53"/>
      <c r="F19" s="11"/>
      <c r="G19" s="11"/>
      <c r="H19" s="73"/>
      <c r="I19" s="73"/>
      <c r="J19" s="73"/>
      <c r="K19" s="73"/>
      <c r="L19" s="73"/>
      <c r="M19" s="73"/>
      <c r="N19" s="73"/>
      <c r="O19" s="73"/>
      <c r="P19" s="73"/>
      <c r="Q19" s="73"/>
      <c r="R19" s="73"/>
      <c r="S19" s="73"/>
      <c r="T19" s="73"/>
      <c r="U19" s="73"/>
      <c r="V19"/>
      <c r="W19"/>
      <c r="X19"/>
      <c r="Y19"/>
      <c r="Z19"/>
      <c r="AA19"/>
      <c r="AB19"/>
      <c r="AC19"/>
      <c r="AD19" s="73"/>
      <c r="AE19" s="73"/>
      <c r="AF19" s="73"/>
      <c r="AG19" s="73"/>
      <c r="AH19" s="73"/>
      <c r="AI19" s="73"/>
    </row>
    <row r="20" spans="1:29" ht="10.5">
      <c r="A20" s="11"/>
      <c r="B20" s="11"/>
      <c r="C20" s="133"/>
      <c r="D20" s="111"/>
      <c r="E20" s="11"/>
      <c r="F20" s="11"/>
      <c r="G20" s="11"/>
      <c r="H20" s="11"/>
      <c r="I20" s="11"/>
      <c r="V20"/>
      <c r="W20"/>
      <c r="X20"/>
      <c r="Y20"/>
      <c r="Z20"/>
      <c r="AA20"/>
      <c r="AB20"/>
      <c r="AC20"/>
    </row>
    <row r="21" spans="1:29" ht="10.5">
      <c r="A21" s="11"/>
      <c r="B21" s="83"/>
      <c r="C21" s="43"/>
      <c r="D21" s="102"/>
      <c r="E21" s="11"/>
      <c r="F21" s="11"/>
      <c r="G21" s="11"/>
      <c r="H21" s="11"/>
      <c r="I21" s="11"/>
      <c r="V21"/>
      <c r="W21"/>
      <c r="X21"/>
      <c r="Y21"/>
      <c r="Z21"/>
      <c r="AA21"/>
      <c r="AB21"/>
      <c r="AC21"/>
    </row>
    <row r="22" spans="1:29" ht="10.5">
      <c r="A22" s="11"/>
      <c r="B22" s="83"/>
      <c r="C22" s="43"/>
      <c r="D22" s="102"/>
      <c r="E22" s="11"/>
      <c r="F22" s="11"/>
      <c r="G22" s="11"/>
      <c r="H22" s="11"/>
      <c r="I22" s="11"/>
      <c r="V22"/>
      <c r="W22"/>
      <c r="X22"/>
      <c r="Y22"/>
      <c r="Z22"/>
      <c r="AA22"/>
      <c r="AB22"/>
      <c r="AC22"/>
    </row>
    <row r="23" spans="1:29" ht="10.5">
      <c r="A23" s="11"/>
      <c r="B23" s="83"/>
      <c r="C23" s="43"/>
      <c r="D23" s="11"/>
      <c r="E23" s="11"/>
      <c r="F23" s="11"/>
      <c r="G23" s="11"/>
      <c r="H23" s="11"/>
      <c r="I23" s="11"/>
      <c r="V23"/>
      <c r="W23"/>
      <c r="X23"/>
      <c r="Y23"/>
      <c r="Z23"/>
      <c r="AA23"/>
      <c r="AB23"/>
      <c r="AC23"/>
    </row>
    <row r="24" spans="2:29" ht="10.5">
      <c r="B24" s="83"/>
      <c r="V24"/>
      <c r="W24"/>
      <c r="X24"/>
      <c r="Y24"/>
      <c r="Z24"/>
      <c r="AA24"/>
      <c r="AB24"/>
      <c r="AC24"/>
    </row>
    <row r="25" spans="2:29" ht="10.5">
      <c r="B25" s="83"/>
      <c r="V25"/>
      <c r="W25"/>
      <c r="X25"/>
      <c r="Y25"/>
      <c r="Z25"/>
      <c r="AA25"/>
      <c r="AB25"/>
      <c r="AC25"/>
    </row>
    <row r="26" spans="22:29" ht="10.5">
      <c r="V26"/>
      <c r="W26"/>
      <c r="X26"/>
      <c r="Y26"/>
      <c r="Z26"/>
      <c r="AA26"/>
      <c r="AB26"/>
      <c r="AC26"/>
    </row>
    <row r="27" spans="22:29" ht="10.5">
      <c r="V27"/>
      <c r="W27"/>
      <c r="X27"/>
      <c r="Y27"/>
      <c r="Z27"/>
      <c r="AA27"/>
      <c r="AB27"/>
      <c r="AC27"/>
    </row>
  </sheetData>
  <mergeCells count="54">
    <mergeCell ref="R1:U1"/>
    <mergeCell ref="A3:A4"/>
    <mergeCell ref="G1:Q1"/>
    <mergeCell ref="B3:B4"/>
    <mergeCell ref="C3:C4"/>
    <mergeCell ref="D3:D4"/>
    <mergeCell ref="O2:Q2"/>
    <mergeCell ref="M3:M4"/>
    <mergeCell ref="N3:N4"/>
    <mergeCell ref="O3:O4"/>
    <mergeCell ref="AJ1:AK1"/>
    <mergeCell ref="AG2:AI2"/>
    <mergeCell ref="AD1:AI1"/>
    <mergeCell ref="AG3:AG4"/>
    <mergeCell ref="AH3:AH4"/>
    <mergeCell ref="AI3:AI4"/>
    <mergeCell ref="AJ2:AJ4"/>
    <mergeCell ref="B1:D1"/>
    <mergeCell ref="B2:D2"/>
    <mergeCell ref="E1:E4"/>
    <mergeCell ref="A1:A2"/>
    <mergeCell ref="V1:Y1"/>
    <mergeCell ref="F2:H2"/>
    <mergeCell ref="F3:F4"/>
    <mergeCell ref="G3:G4"/>
    <mergeCell ref="H3:H4"/>
    <mergeCell ref="I2:N2"/>
    <mergeCell ref="I3:I4"/>
    <mergeCell ref="J3:J4"/>
    <mergeCell ref="K3:K4"/>
    <mergeCell ref="L3:L4"/>
    <mergeCell ref="P3:P4"/>
    <mergeCell ref="Q3:Q4"/>
    <mergeCell ref="R2:R4"/>
    <mergeCell ref="S3:S4"/>
    <mergeCell ref="T3:T4"/>
    <mergeCell ref="S2:T2"/>
    <mergeCell ref="U2:U4"/>
    <mergeCell ref="V2:V4"/>
    <mergeCell ref="W2:X2"/>
    <mergeCell ref="W3:W4"/>
    <mergeCell ref="X3:X4"/>
    <mergeCell ref="AK2:AK4"/>
    <mergeCell ref="Y2:Y4"/>
    <mergeCell ref="AD2:AF2"/>
    <mergeCell ref="AD3:AD4"/>
    <mergeCell ref="AE3:AE4"/>
    <mergeCell ref="AF3:AF4"/>
    <mergeCell ref="Z1:AC1"/>
    <mergeCell ref="Z2:Z4"/>
    <mergeCell ref="AA2:AB2"/>
    <mergeCell ref="AC2:AC4"/>
    <mergeCell ref="AA3:AA4"/>
    <mergeCell ref="AB3:AB4"/>
  </mergeCells>
  <printOptions/>
  <pageMargins left="0.75" right="0.75" top="1" bottom="1" header="0.5" footer="0.5"/>
  <pageSetup orientation="portrait" r:id="rId3"/>
  <legacyDrawing r:id="rId2"/>
</worksheet>
</file>

<file path=xl/worksheets/sheet7.xml><?xml version="1.0" encoding="utf-8"?>
<worksheet xmlns="http://schemas.openxmlformats.org/spreadsheetml/2006/main" xmlns:r="http://schemas.openxmlformats.org/officeDocument/2006/relationships">
  <dimension ref="A1:AL31"/>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K27" sqref="K27"/>
    </sheetView>
  </sheetViews>
  <sheetFormatPr defaultColWidth="9.140625" defaultRowHeight="12"/>
  <cols>
    <col min="1" max="1" width="19.421875" style="6" customWidth="1"/>
    <col min="2" max="2" width="12.00390625" style="6" customWidth="1"/>
    <col min="3" max="3" width="13.140625" style="6" customWidth="1"/>
    <col min="4" max="4" width="10.28125" style="6" customWidth="1"/>
    <col min="5" max="9" width="12.00390625" style="6" customWidth="1"/>
    <col min="10" max="10" width="9.00390625" style="6" customWidth="1"/>
    <col min="11" max="11" width="12.00390625" style="6" customWidth="1"/>
    <col min="12" max="12" width="8.8515625" style="6" customWidth="1"/>
    <col min="13" max="13" width="8.140625" style="6" customWidth="1"/>
    <col min="14" max="14" width="12.00390625" style="6" customWidth="1"/>
    <col min="15" max="15" width="8.421875" style="6" customWidth="1"/>
    <col min="16" max="16" width="7.8515625" style="6" customWidth="1"/>
    <col min="17" max="17" width="12.00390625" style="6" customWidth="1"/>
    <col min="18" max="18" width="7.421875" style="6" customWidth="1"/>
    <col min="19" max="19" width="8.00390625" style="6" customWidth="1"/>
    <col min="20" max="20" width="12.00390625" style="6" customWidth="1"/>
    <col min="21" max="21" width="9.00390625" style="6" customWidth="1"/>
    <col min="22" max="22" width="9.28125" style="6" customWidth="1"/>
    <col min="23" max="23" width="9.00390625" style="6" customWidth="1"/>
    <col min="24" max="24" width="12.00390625" style="6" customWidth="1"/>
    <col min="25" max="26" width="9.140625" style="6" customWidth="1"/>
    <col min="27" max="27" width="8.8515625" style="6" customWidth="1"/>
    <col min="28" max="28" width="12.00390625" style="6" customWidth="1"/>
    <col min="29" max="29" width="9.00390625" style="6" customWidth="1"/>
    <col min="30" max="30" width="9.140625" style="6" customWidth="1"/>
    <col min="31" max="31" width="9.00390625" style="6" customWidth="1"/>
    <col min="32" max="32" width="12.00390625" style="6" customWidth="1"/>
    <col min="33" max="33" width="10.421875" style="6" customWidth="1"/>
    <col min="34" max="34" width="13.28125" style="6" customWidth="1"/>
    <col min="35" max="16384" width="12.00390625" style="6" customWidth="1"/>
  </cols>
  <sheetData>
    <row r="1" spans="1:34" s="501" customFormat="1" ht="30" customHeight="1">
      <c r="A1" s="232" t="s">
        <v>111</v>
      </c>
      <c r="B1" s="269" t="s">
        <v>148</v>
      </c>
      <c r="C1" s="269"/>
      <c r="D1" s="269"/>
      <c r="E1" s="269"/>
      <c r="F1" s="269"/>
      <c r="G1" s="273" t="s">
        <v>171</v>
      </c>
      <c r="H1" s="506"/>
      <c r="I1" s="285" t="s">
        <v>62</v>
      </c>
      <c r="J1" s="285"/>
      <c r="K1" s="285"/>
      <c r="L1" s="285"/>
      <c r="M1" s="285"/>
      <c r="N1" s="285"/>
      <c r="O1" s="285"/>
      <c r="P1" s="285"/>
      <c r="Q1" s="285"/>
      <c r="R1" s="507"/>
      <c r="S1" s="507"/>
      <c r="T1" s="243" t="s">
        <v>8</v>
      </c>
      <c r="U1" s="243"/>
      <c r="V1" s="243"/>
      <c r="W1" s="243"/>
      <c r="X1" s="273" t="s">
        <v>169</v>
      </c>
      <c r="Y1" s="285"/>
      <c r="Z1" s="285"/>
      <c r="AA1" s="285"/>
      <c r="AB1" s="286" t="s">
        <v>201</v>
      </c>
      <c r="AC1" s="243"/>
      <c r="AD1" s="243"/>
      <c r="AE1" s="243"/>
      <c r="AF1" s="293" t="s">
        <v>36</v>
      </c>
      <c r="AG1" s="294"/>
      <c r="AH1" s="170"/>
    </row>
    <row r="2" spans="1:38" s="501" customFormat="1" ht="36" customHeight="1">
      <c r="A2" s="233"/>
      <c r="B2" s="271" t="s">
        <v>46</v>
      </c>
      <c r="C2" s="271"/>
      <c r="D2" s="271"/>
      <c r="E2" s="298" t="s">
        <v>52</v>
      </c>
      <c r="F2" s="298"/>
      <c r="G2" s="144"/>
      <c r="H2" s="291" t="s">
        <v>101</v>
      </c>
      <c r="I2" s="291"/>
      <c r="J2" s="291"/>
      <c r="K2" s="253" t="s">
        <v>87</v>
      </c>
      <c r="L2" s="253"/>
      <c r="M2" s="253"/>
      <c r="N2" s="253"/>
      <c r="O2" s="253"/>
      <c r="P2" s="253"/>
      <c r="Q2" s="282" t="s">
        <v>104</v>
      </c>
      <c r="R2" s="282"/>
      <c r="S2" s="282"/>
      <c r="T2" s="172" t="s">
        <v>101</v>
      </c>
      <c r="U2" s="246" t="s">
        <v>87</v>
      </c>
      <c r="V2" s="246"/>
      <c r="W2" s="172" t="s">
        <v>104</v>
      </c>
      <c r="X2" s="289" t="s">
        <v>107</v>
      </c>
      <c r="Y2" s="295" t="s">
        <v>87</v>
      </c>
      <c r="Z2" s="295"/>
      <c r="AA2" s="289" t="s">
        <v>104</v>
      </c>
      <c r="AB2" s="287" t="s">
        <v>107</v>
      </c>
      <c r="AC2" s="288" t="s">
        <v>87</v>
      </c>
      <c r="AD2" s="288"/>
      <c r="AE2" s="287" t="s">
        <v>104</v>
      </c>
      <c r="AF2" s="143" t="s">
        <v>38</v>
      </c>
      <c r="AG2" s="250" t="s">
        <v>39</v>
      </c>
      <c r="AH2" s="170"/>
      <c r="AK2" s="502"/>
      <c r="AL2" s="502"/>
    </row>
    <row r="3" spans="1:38" s="501" customFormat="1" ht="16.5" customHeight="1">
      <c r="A3" s="508" t="s">
        <v>234</v>
      </c>
      <c r="B3" s="271" t="s">
        <v>48</v>
      </c>
      <c r="C3" s="271" t="s">
        <v>71</v>
      </c>
      <c r="D3" s="271" t="s">
        <v>53</v>
      </c>
      <c r="E3" s="143" t="s">
        <v>54</v>
      </c>
      <c r="F3" s="143" t="s">
        <v>55</v>
      </c>
      <c r="G3" s="144"/>
      <c r="H3" s="172" t="s">
        <v>172</v>
      </c>
      <c r="I3" s="172" t="s">
        <v>252</v>
      </c>
      <c r="J3" s="172" t="s">
        <v>51</v>
      </c>
      <c r="K3" s="254" t="s">
        <v>172</v>
      </c>
      <c r="L3" s="254" t="s">
        <v>82</v>
      </c>
      <c r="M3" s="254" t="s">
        <v>51</v>
      </c>
      <c r="N3" s="254" t="s">
        <v>172</v>
      </c>
      <c r="O3" s="254" t="s">
        <v>83</v>
      </c>
      <c r="P3" s="254" t="s">
        <v>51</v>
      </c>
      <c r="Q3" s="256" t="s">
        <v>172</v>
      </c>
      <c r="R3" s="256" t="s">
        <v>105</v>
      </c>
      <c r="S3" s="256" t="s">
        <v>51</v>
      </c>
      <c r="T3" s="172"/>
      <c r="U3" s="144" t="s">
        <v>82</v>
      </c>
      <c r="V3" s="144" t="s">
        <v>83</v>
      </c>
      <c r="W3" s="172"/>
      <c r="X3" s="289"/>
      <c r="Y3" s="287" t="s">
        <v>82</v>
      </c>
      <c r="Z3" s="287" t="s">
        <v>83</v>
      </c>
      <c r="AA3" s="289"/>
      <c r="AB3" s="287"/>
      <c r="AC3" s="289" t="s">
        <v>82</v>
      </c>
      <c r="AD3" s="289" t="s">
        <v>83</v>
      </c>
      <c r="AE3" s="287"/>
      <c r="AF3" s="143"/>
      <c r="AG3" s="250"/>
      <c r="AH3" s="170"/>
      <c r="AK3" s="502"/>
      <c r="AL3" s="502"/>
    </row>
    <row r="4" spans="1:36" s="504" customFormat="1" ht="21" customHeight="1">
      <c r="A4" s="508"/>
      <c r="B4" s="271"/>
      <c r="C4" s="271"/>
      <c r="D4" s="271"/>
      <c r="E4" s="143"/>
      <c r="F4" s="143"/>
      <c r="G4" s="144"/>
      <c r="H4" s="172"/>
      <c r="I4" s="172"/>
      <c r="J4" s="172"/>
      <c r="K4" s="254"/>
      <c r="L4" s="254"/>
      <c r="M4" s="254"/>
      <c r="N4" s="254"/>
      <c r="O4" s="254"/>
      <c r="P4" s="254"/>
      <c r="Q4" s="256"/>
      <c r="R4" s="256"/>
      <c r="S4" s="256"/>
      <c r="T4" s="172"/>
      <c r="U4" s="144"/>
      <c r="V4" s="144"/>
      <c r="W4" s="172"/>
      <c r="X4" s="289"/>
      <c r="Y4" s="287"/>
      <c r="Z4" s="287"/>
      <c r="AA4" s="289"/>
      <c r="AB4" s="287"/>
      <c r="AC4" s="289"/>
      <c r="AD4" s="289"/>
      <c r="AE4" s="287"/>
      <c r="AF4" s="143"/>
      <c r="AG4" s="250"/>
      <c r="AH4" s="505"/>
      <c r="AI4" s="503"/>
      <c r="AJ4" s="503"/>
    </row>
    <row r="5" spans="1:33" s="448" customFormat="1" ht="10.5">
      <c r="A5" s="348">
        <f>Demography!A4</f>
        <v>1</v>
      </c>
      <c r="B5" s="390">
        <v>35978</v>
      </c>
      <c r="C5" s="379">
        <f>IF(B5="","",B5-'Visit 1'!B5)</f>
        <v>61</v>
      </c>
      <c r="D5" s="379">
        <f>IF(B5="","",B5-'Visit 2'!B5)</f>
        <v>13</v>
      </c>
      <c r="E5" s="392">
        <v>9</v>
      </c>
      <c r="F5" s="392">
        <f>IF(E5="","",E5/D5)</f>
        <v>0.6923076923076923</v>
      </c>
      <c r="G5" s="513"/>
      <c r="H5" s="379" t="s">
        <v>81</v>
      </c>
      <c r="I5" s="392"/>
      <c r="J5" s="392"/>
      <c r="K5" s="379" t="s">
        <v>81</v>
      </c>
      <c r="L5" s="392"/>
      <c r="M5" s="392"/>
      <c r="N5" s="379" t="s">
        <v>81</v>
      </c>
      <c r="O5" s="392"/>
      <c r="P5" s="392"/>
      <c r="Q5" s="379" t="s">
        <v>81</v>
      </c>
      <c r="R5" s="392"/>
      <c r="S5" s="392"/>
      <c r="T5" s="379" t="s">
        <v>81</v>
      </c>
      <c r="U5" s="379"/>
      <c r="V5" s="379"/>
      <c r="W5" s="379"/>
      <c r="X5" s="379" t="s">
        <v>81</v>
      </c>
      <c r="Y5" s="379"/>
      <c r="Z5" s="379"/>
      <c r="AA5" s="379"/>
      <c r="AB5" s="513"/>
      <c r="AC5" s="379"/>
      <c r="AD5" s="379"/>
      <c r="AE5" s="379"/>
      <c r="AF5" s="379" t="s">
        <v>81</v>
      </c>
      <c r="AG5" s="519"/>
    </row>
    <row r="6" spans="1:33" s="448" customFormat="1" ht="10.5">
      <c r="A6" s="348">
        <f>Demography!A5</f>
        <v>2</v>
      </c>
      <c r="B6" s="378">
        <v>36076</v>
      </c>
      <c r="C6" s="379">
        <f>IF(B6="","",B6-'Visit 1'!B6)</f>
        <v>83</v>
      </c>
      <c r="D6" s="379">
        <f>IF(B6="","",B6-'Visit 2'!B6)</f>
        <v>7</v>
      </c>
      <c r="E6" s="392">
        <v>8</v>
      </c>
      <c r="F6" s="392">
        <f aca="true" t="shared" si="0" ref="F6:F16">IF(E6="","",E6/D6)</f>
        <v>1.1428571428571428</v>
      </c>
      <c r="G6" s="513"/>
      <c r="H6" s="379" t="s">
        <v>81</v>
      </c>
      <c r="I6" s="392"/>
      <c r="J6" s="392"/>
      <c r="K6" s="379" t="s">
        <v>81</v>
      </c>
      <c r="L6" s="392"/>
      <c r="M6" s="392"/>
      <c r="N6" s="379" t="s">
        <v>81</v>
      </c>
      <c r="O6" s="392"/>
      <c r="P6" s="392"/>
      <c r="Q6" s="379" t="s">
        <v>81</v>
      </c>
      <c r="R6" s="392"/>
      <c r="S6" s="392"/>
      <c r="T6" s="379" t="s">
        <v>81</v>
      </c>
      <c r="U6" s="379"/>
      <c r="V6" s="379"/>
      <c r="W6" s="379"/>
      <c r="X6" s="379" t="s">
        <v>81</v>
      </c>
      <c r="Y6" s="379"/>
      <c r="Z6" s="379"/>
      <c r="AA6" s="379"/>
      <c r="AB6" s="513"/>
      <c r="AC6" s="379"/>
      <c r="AD6" s="379"/>
      <c r="AE6" s="379"/>
      <c r="AF6" s="381">
        <v>-3</v>
      </c>
      <c r="AG6" s="514">
        <v>0</v>
      </c>
    </row>
    <row r="7" spans="1:33" s="448" customFormat="1" ht="10.5">
      <c r="A7" s="348">
        <f>Demography!A6</f>
        <v>3</v>
      </c>
      <c r="B7" s="378">
        <v>36091</v>
      </c>
      <c r="C7" s="379">
        <f>IF(B7="","",B7-'Visit 1'!B7)</f>
        <v>92</v>
      </c>
      <c r="D7" s="379">
        <f>IF(B7="","",B7-'Visit 2'!B7)</f>
        <v>7</v>
      </c>
      <c r="E7" s="392">
        <v>9</v>
      </c>
      <c r="F7" s="392">
        <f t="shared" si="0"/>
        <v>1.2857142857142858</v>
      </c>
      <c r="G7" s="352">
        <v>10</v>
      </c>
      <c r="H7" s="379">
        <v>15</v>
      </c>
      <c r="I7" s="379">
        <v>40</v>
      </c>
      <c r="J7" s="379">
        <v>2</v>
      </c>
      <c r="K7" s="379">
        <v>15</v>
      </c>
      <c r="L7" s="379">
        <v>80</v>
      </c>
      <c r="M7" s="379">
        <v>-1</v>
      </c>
      <c r="N7" s="379">
        <v>15</v>
      </c>
      <c r="O7" s="379">
        <v>70</v>
      </c>
      <c r="P7" s="379">
        <v>-2</v>
      </c>
      <c r="Q7" s="379">
        <v>15</v>
      </c>
      <c r="R7" s="379">
        <v>40</v>
      </c>
      <c r="S7" s="379">
        <v>2</v>
      </c>
      <c r="T7" s="392">
        <f>IF(I7="","",LOG10(((I7*$G7)/H7)/20)-J7*(0.1/5))</f>
        <v>0.08493873660830001</v>
      </c>
      <c r="U7" s="392">
        <f>IF(L7="","",LOG10(((L7*$G7)/K7)/20)-M7*(0.1/5))</f>
        <v>0.44596873227228123</v>
      </c>
      <c r="V7" s="392">
        <f>IF(O7="","",LOG10(((O7*$G7)/N7)/20)-P7*(0.1/5))</f>
        <v>0.4079767852945943</v>
      </c>
      <c r="W7" s="392">
        <f>IF(R7="","",LOG10(((R7*$G7)/Q7)/20)-S7*(0.1/5))</f>
        <v>0.08493873660830001</v>
      </c>
      <c r="X7" s="381">
        <f>IF(T7="","",20*10^(T7))</f>
        <v>24.320289049490928</v>
      </c>
      <c r="Y7" s="381">
        <f>IF(U7="","",20*10^(U7))</f>
        <v>55.846855896047984</v>
      </c>
      <c r="Z7" s="381">
        <f>IF(V7="","",20*10^(V7))</f>
        <v>51.16898248668196</v>
      </c>
      <c r="AA7" s="381">
        <f>IF(W7="","",20*10^(W7))</f>
        <v>24.320289049490928</v>
      </c>
      <c r="AB7" s="513">
        <f aca="true" t="shared" si="1" ref="AB7:AB16">6/(20/X7)</f>
        <v>7.296086714847278</v>
      </c>
      <c r="AC7" s="392">
        <f aca="true" t="shared" si="2" ref="AC7:AC16">6/(20/Y7)</f>
        <v>16.754056768814394</v>
      </c>
      <c r="AD7" s="392">
        <f aca="true" t="shared" si="3" ref="AD7:AD16">6/(20/Z7)</f>
        <v>15.350694746004589</v>
      </c>
      <c r="AE7" s="392">
        <f aca="true" t="shared" si="4" ref="AE7:AE16">6/(20/AA7)</f>
        <v>7.296086714847278</v>
      </c>
      <c r="AF7" s="381">
        <v>0</v>
      </c>
      <c r="AG7" s="514">
        <v>1.5</v>
      </c>
    </row>
    <row r="8" spans="1:33" s="448" customFormat="1" ht="10.5">
      <c r="A8" s="348">
        <f>Demography!A7</f>
        <v>4</v>
      </c>
      <c r="B8" s="378">
        <v>36103</v>
      </c>
      <c r="C8" s="379">
        <f>IF(B8="","",B8-'Visit 1'!B8)</f>
        <v>102</v>
      </c>
      <c r="D8" s="379">
        <f>IF(B8="","",B8-'Visit 2'!B8)</f>
        <v>7</v>
      </c>
      <c r="E8" s="392">
        <v>2.5</v>
      </c>
      <c r="F8" s="392">
        <f t="shared" si="0"/>
        <v>0.35714285714285715</v>
      </c>
      <c r="G8" s="352">
        <v>10</v>
      </c>
      <c r="H8" s="379">
        <v>15</v>
      </c>
      <c r="I8" s="379">
        <v>30</v>
      </c>
      <c r="J8" s="379">
        <v>-1</v>
      </c>
      <c r="K8" s="379">
        <v>15</v>
      </c>
      <c r="L8" s="379">
        <v>70</v>
      </c>
      <c r="M8" s="379">
        <v>-1</v>
      </c>
      <c r="N8" s="379">
        <v>15</v>
      </c>
      <c r="O8" s="379">
        <v>50</v>
      </c>
      <c r="P8" s="379">
        <v>1</v>
      </c>
      <c r="Q8" s="379">
        <v>15</v>
      </c>
      <c r="R8" s="379">
        <v>30</v>
      </c>
      <c r="S8" s="379">
        <v>2</v>
      </c>
      <c r="T8" s="392">
        <f>IF(I8="","",LOG10(((I8*$G8)/H8)/20)-J8*(0.1/5))</f>
        <v>0.02</v>
      </c>
      <c r="U8" s="392">
        <f>IF(L8="","",LOG10(((L8*$G8)/K8)/20)-M8*(0.1/5))</f>
        <v>0.38797678529459434</v>
      </c>
      <c r="V8" s="392">
        <f>IF(O8="","",LOG10(((O8*$G8)/N8)/20)-P8*(0.1/5))</f>
        <v>0.2018487496163564</v>
      </c>
      <c r="W8" s="392">
        <f>IF(R8="","",LOG10(((R8*$G8)/Q8)/20)-S8*(0.1/5))</f>
        <v>-0.04</v>
      </c>
      <c r="X8" s="381">
        <f aca="true" t="shared" si="5" ref="X8:AA16">IF(T8="","",20*10^(T8))</f>
        <v>20.942570961017992</v>
      </c>
      <c r="Y8" s="381">
        <f t="shared" si="5"/>
        <v>48.86599890904198</v>
      </c>
      <c r="Z8" s="381">
        <f t="shared" si="5"/>
        <v>31.833086200714536</v>
      </c>
      <c r="AA8" s="381">
        <f t="shared" si="5"/>
        <v>18.240216787118193</v>
      </c>
      <c r="AB8" s="513">
        <f t="shared" si="1"/>
        <v>6.282771288305398</v>
      </c>
      <c r="AC8" s="392">
        <f t="shared" si="2"/>
        <v>14.659799672712593</v>
      </c>
      <c r="AD8" s="392">
        <f t="shared" si="3"/>
        <v>9.54992586021436</v>
      </c>
      <c r="AE8" s="392">
        <f t="shared" si="4"/>
        <v>5.472065036135458</v>
      </c>
      <c r="AF8" s="381">
        <v>1</v>
      </c>
      <c r="AG8" s="514">
        <v>4</v>
      </c>
    </row>
    <row r="9" spans="1:33" s="448" customFormat="1" ht="10.5">
      <c r="A9" s="348">
        <f>Demography!A8</f>
        <v>5</v>
      </c>
      <c r="B9" s="378">
        <v>36176</v>
      </c>
      <c r="C9" s="379">
        <f>IF(B9="","",B9-'Visit 1'!B9)</f>
        <v>114</v>
      </c>
      <c r="D9" s="379">
        <f>IF(B9="","",B9-'Visit 2'!B9)</f>
        <v>7</v>
      </c>
      <c r="E9" s="392">
        <v>13.5</v>
      </c>
      <c r="F9" s="392">
        <f t="shared" si="0"/>
        <v>1.9285714285714286</v>
      </c>
      <c r="G9" s="352">
        <v>10</v>
      </c>
      <c r="H9" s="379">
        <v>15</v>
      </c>
      <c r="I9" s="379">
        <v>60</v>
      </c>
      <c r="J9" s="379">
        <v>-1</v>
      </c>
      <c r="K9" s="379">
        <v>15</v>
      </c>
      <c r="L9" s="379">
        <v>50</v>
      </c>
      <c r="M9" s="379">
        <v>1</v>
      </c>
      <c r="N9" s="379">
        <v>15</v>
      </c>
      <c r="O9" s="379">
        <v>50</v>
      </c>
      <c r="P9" s="379">
        <v>2</v>
      </c>
      <c r="Q9" s="379">
        <v>15</v>
      </c>
      <c r="R9" s="379">
        <v>50</v>
      </c>
      <c r="S9" s="379">
        <v>-1</v>
      </c>
      <c r="T9" s="392">
        <f>IF(I9="","",LOG10(((I9*$G9)/H9)/20)-J9*(0.1/5))</f>
        <v>0.3210299956639812</v>
      </c>
      <c r="U9" s="392">
        <f aca="true" t="shared" si="6" ref="U9:U16">IF(L9="","",LOG10(((L9*$G9)/K9)/20)-M9*(0.1/5))</f>
        <v>0.2018487496163564</v>
      </c>
      <c r="V9" s="392">
        <f aca="true" t="shared" si="7" ref="V9:V16">IF(O9="","",LOG10(((O9*$G9)/N9)/20)-P9*(0.1/5))</f>
        <v>0.1818487496163564</v>
      </c>
      <c r="W9" s="392">
        <f aca="true" t="shared" si="8" ref="W9:W16">IF(R9="","",LOG10(((R9*$G9)/Q9)/20)-S9*(0.1/5))</f>
        <v>0.24184874961635638</v>
      </c>
      <c r="X9" s="381">
        <f t="shared" si="5"/>
        <v>41.885141922035984</v>
      </c>
      <c r="Y9" s="381">
        <f t="shared" si="5"/>
        <v>31.833086200714536</v>
      </c>
      <c r="Z9" s="381">
        <f t="shared" si="5"/>
        <v>30.40036131186366</v>
      </c>
      <c r="AA9" s="381">
        <f t="shared" si="5"/>
        <v>34.904284935029985</v>
      </c>
      <c r="AB9" s="513">
        <f t="shared" si="1"/>
        <v>12.565542576610795</v>
      </c>
      <c r="AC9" s="392">
        <f t="shared" si="2"/>
        <v>9.54992586021436</v>
      </c>
      <c r="AD9" s="392">
        <f t="shared" si="3"/>
        <v>9.120108393559097</v>
      </c>
      <c r="AE9" s="392">
        <f t="shared" si="4"/>
        <v>10.471285480508996</v>
      </c>
      <c r="AF9" s="381">
        <v>1</v>
      </c>
      <c r="AG9" s="514">
        <v>6</v>
      </c>
    </row>
    <row r="10" spans="1:33" s="448" customFormat="1" ht="10.5">
      <c r="A10" s="348">
        <f>Demography!A9</f>
        <v>6</v>
      </c>
      <c r="B10" s="378">
        <v>36370</v>
      </c>
      <c r="C10" s="379">
        <f>IF(B10="","",B10-'Visit 1'!B10)</f>
        <v>114</v>
      </c>
      <c r="D10" s="379">
        <f>IF(B10="","",B10-'Visit 2'!B10)</f>
        <v>14</v>
      </c>
      <c r="E10" s="392"/>
      <c r="F10" s="392">
        <f t="shared" si="0"/>
      </c>
      <c r="G10" s="352">
        <v>10</v>
      </c>
      <c r="H10" s="379">
        <v>15</v>
      </c>
      <c r="I10" s="379">
        <v>100</v>
      </c>
      <c r="J10" s="379">
        <v>-1</v>
      </c>
      <c r="K10" s="379">
        <v>15</v>
      </c>
      <c r="L10" s="379">
        <v>100</v>
      </c>
      <c r="M10" s="379">
        <v>2</v>
      </c>
      <c r="N10" s="379">
        <v>15</v>
      </c>
      <c r="O10" s="379">
        <v>80</v>
      </c>
      <c r="P10" s="379">
        <v>-1</v>
      </c>
      <c r="Q10" s="379">
        <v>15</v>
      </c>
      <c r="R10" s="379">
        <v>100</v>
      </c>
      <c r="S10" s="379">
        <v>-1</v>
      </c>
      <c r="T10" s="392">
        <f>IF(I10="","",LOG10(((I10*$G10)/H10)/20)-J10*(0.1/5))</f>
        <v>0.5428787452803376</v>
      </c>
      <c r="U10" s="392">
        <f t="shared" si="6"/>
        <v>0.48287874528033764</v>
      </c>
      <c r="V10" s="392">
        <f t="shared" si="7"/>
        <v>0.44596873227228123</v>
      </c>
      <c r="W10" s="392">
        <f t="shared" si="8"/>
        <v>0.5428787452803376</v>
      </c>
      <c r="X10" s="381">
        <f t="shared" si="5"/>
        <v>69.80856987006</v>
      </c>
      <c r="Y10" s="381">
        <f t="shared" si="5"/>
        <v>60.80072262372734</v>
      </c>
      <c r="Z10" s="381">
        <f t="shared" si="5"/>
        <v>55.846855896047984</v>
      </c>
      <c r="AA10" s="381">
        <f t="shared" si="5"/>
        <v>69.80856987006</v>
      </c>
      <c r="AB10" s="513">
        <f t="shared" si="1"/>
        <v>20.942570961018</v>
      </c>
      <c r="AC10" s="392">
        <f t="shared" si="2"/>
        <v>18.2402167871182</v>
      </c>
      <c r="AD10" s="392">
        <f t="shared" si="3"/>
        <v>16.754056768814394</v>
      </c>
      <c r="AE10" s="392">
        <f t="shared" si="4"/>
        <v>20.942570961018</v>
      </c>
      <c r="AF10" s="381">
        <v>-6</v>
      </c>
      <c r="AG10" s="514">
        <v>-6</v>
      </c>
    </row>
    <row r="11" spans="1:33" s="448" customFormat="1" ht="10.5">
      <c r="A11" s="348">
        <f>Demography!A10</f>
        <v>7</v>
      </c>
      <c r="B11" s="378">
        <v>36368</v>
      </c>
      <c r="C11" s="379">
        <f>IF(B11="","",B11-'Visit 1'!B11)</f>
        <v>108</v>
      </c>
      <c r="D11" s="379">
        <f>IF(B11="","",B11-'Visit 2'!B11)</f>
        <v>7</v>
      </c>
      <c r="E11" s="392">
        <v>5</v>
      </c>
      <c r="F11" s="392">
        <f t="shared" si="0"/>
        <v>0.7142857142857143</v>
      </c>
      <c r="G11" s="352">
        <v>10</v>
      </c>
      <c r="H11" s="379">
        <v>15</v>
      </c>
      <c r="I11" s="379">
        <v>70</v>
      </c>
      <c r="J11" s="379">
        <v>0</v>
      </c>
      <c r="K11" s="379">
        <v>15</v>
      </c>
      <c r="L11" s="379">
        <v>100</v>
      </c>
      <c r="M11" s="379">
        <v>-1</v>
      </c>
      <c r="N11" s="379">
        <v>15</v>
      </c>
      <c r="O11" s="379">
        <v>125</v>
      </c>
      <c r="P11" s="379">
        <v>-1</v>
      </c>
      <c r="Q11" s="379">
        <v>15</v>
      </c>
      <c r="R11" s="379">
        <v>60</v>
      </c>
      <c r="S11" s="379">
        <v>-1</v>
      </c>
      <c r="T11" s="392">
        <f aca="true" t="shared" si="9" ref="T11:T16">IF(I11="","",LOG10(((I11*$G11)/H11)/20)-J11*(0.1/5))</f>
        <v>0.3679767852945943</v>
      </c>
      <c r="U11" s="392">
        <f t="shared" si="6"/>
        <v>0.5428787452803376</v>
      </c>
      <c r="V11" s="392">
        <f t="shared" si="7"/>
        <v>0.639788758288394</v>
      </c>
      <c r="W11" s="392">
        <f t="shared" si="8"/>
        <v>0.3210299956639812</v>
      </c>
      <c r="X11" s="381">
        <f t="shared" si="5"/>
        <v>46.66666666666666</v>
      </c>
      <c r="Y11" s="381">
        <f t="shared" si="5"/>
        <v>69.80856987006</v>
      </c>
      <c r="Z11" s="381">
        <f t="shared" si="5"/>
        <v>87.26071233757497</v>
      </c>
      <c r="AA11" s="381">
        <f t="shared" si="5"/>
        <v>41.885141922035984</v>
      </c>
      <c r="AB11" s="513">
        <f t="shared" si="1"/>
        <v>13.999999999999996</v>
      </c>
      <c r="AC11" s="392">
        <f t="shared" si="2"/>
        <v>20.942570961018</v>
      </c>
      <c r="AD11" s="392">
        <f t="shared" si="3"/>
        <v>26.17821370127249</v>
      </c>
      <c r="AE11" s="392">
        <f t="shared" si="4"/>
        <v>12.565542576610795</v>
      </c>
      <c r="AF11" s="381">
        <v>-4</v>
      </c>
      <c r="AG11" s="514">
        <v>-1</v>
      </c>
    </row>
    <row r="12" spans="1:33" s="448" customFormat="1" ht="10.5">
      <c r="A12" s="348">
        <f>Demography!A11</f>
        <v>8</v>
      </c>
      <c r="B12" s="378">
        <v>36439</v>
      </c>
      <c r="C12" s="379">
        <f>IF(B12="","",B12-'Visit 1'!B12)</f>
        <v>90</v>
      </c>
      <c r="D12" s="379">
        <f>IF(B12="","",B12-'Visit 2'!B12)</f>
        <v>8</v>
      </c>
      <c r="E12" s="392">
        <v>3.5</v>
      </c>
      <c r="F12" s="392">
        <f t="shared" si="0"/>
        <v>0.4375</v>
      </c>
      <c r="G12" s="352">
        <v>10</v>
      </c>
      <c r="H12" s="379">
        <v>15</v>
      </c>
      <c r="I12" s="379">
        <v>50</v>
      </c>
      <c r="J12" s="379">
        <v>-2</v>
      </c>
      <c r="K12" s="379">
        <v>15</v>
      </c>
      <c r="L12" s="379">
        <v>80</v>
      </c>
      <c r="M12" s="379">
        <v>1</v>
      </c>
      <c r="N12" s="379">
        <v>15</v>
      </c>
      <c r="O12" s="379">
        <v>70</v>
      </c>
      <c r="P12" s="379">
        <v>-2</v>
      </c>
      <c r="Q12" s="379">
        <v>15</v>
      </c>
      <c r="R12" s="379">
        <v>60</v>
      </c>
      <c r="S12" s="379">
        <v>1</v>
      </c>
      <c r="T12" s="392">
        <f t="shared" si="9"/>
        <v>0.2618487496163564</v>
      </c>
      <c r="U12" s="392">
        <f t="shared" si="6"/>
        <v>0.4059687322722812</v>
      </c>
      <c r="V12" s="392">
        <f t="shared" si="7"/>
        <v>0.4079767852945943</v>
      </c>
      <c r="W12" s="392">
        <f t="shared" si="8"/>
        <v>0.2810299956639812</v>
      </c>
      <c r="X12" s="381">
        <f t="shared" si="5"/>
        <v>36.54927320477284</v>
      </c>
      <c r="Y12" s="381">
        <f t="shared" si="5"/>
        <v>50.932937921143264</v>
      </c>
      <c r="Z12" s="381">
        <f t="shared" si="5"/>
        <v>51.16898248668196</v>
      </c>
      <c r="AA12" s="381">
        <f t="shared" si="5"/>
        <v>38.19970344085744</v>
      </c>
      <c r="AB12" s="513">
        <f t="shared" si="1"/>
        <v>10.964781961431852</v>
      </c>
      <c r="AC12" s="392">
        <f t="shared" si="2"/>
        <v>15.279881376342978</v>
      </c>
      <c r="AD12" s="392">
        <f t="shared" si="3"/>
        <v>15.350694746004589</v>
      </c>
      <c r="AE12" s="392">
        <f t="shared" si="4"/>
        <v>11.459911032257233</v>
      </c>
      <c r="AF12" s="381">
        <v>-8</v>
      </c>
      <c r="AG12" s="514">
        <v>-6</v>
      </c>
    </row>
    <row r="13" spans="1:33" s="448" customFormat="1" ht="10.5">
      <c r="A13" s="348">
        <f>Demography!A12</f>
        <v>9</v>
      </c>
      <c r="B13" s="378">
        <v>36434</v>
      </c>
      <c r="C13" s="379">
        <f>IF(B13="","",B13-'Visit 1'!B13)</f>
        <v>71</v>
      </c>
      <c r="D13" s="379">
        <f>IF(B13="","",B13-'Visit 2'!B13)</f>
        <v>7</v>
      </c>
      <c r="E13" s="392">
        <v>3.25</v>
      </c>
      <c r="F13" s="392">
        <f t="shared" si="0"/>
        <v>0.4642857142857143</v>
      </c>
      <c r="G13" s="352">
        <v>10</v>
      </c>
      <c r="H13" s="379">
        <v>15</v>
      </c>
      <c r="I13" s="379">
        <v>80</v>
      </c>
      <c r="J13" s="379">
        <v>1</v>
      </c>
      <c r="K13" s="379">
        <v>15</v>
      </c>
      <c r="L13" s="379">
        <v>100</v>
      </c>
      <c r="M13" s="379">
        <v>-1</v>
      </c>
      <c r="N13" s="379">
        <v>15</v>
      </c>
      <c r="O13" s="379">
        <v>80</v>
      </c>
      <c r="P13" s="379">
        <v>2</v>
      </c>
      <c r="Q13" s="379">
        <v>15</v>
      </c>
      <c r="R13" s="379">
        <v>80</v>
      </c>
      <c r="S13" s="379">
        <v>1</v>
      </c>
      <c r="T13" s="392">
        <f t="shared" si="9"/>
        <v>0.4059687322722812</v>
      </c>
      <c r="U13" s="392">
        <f t="shared" si="6"/>
        <v>0.5428787452803376</v>
      </c>
      <c r="V13" s="392">
        <f t="shared" si="7"/>
        <v>0.38596873227228123</v>
      </c>
      <c r="W13" s="392">
        <f t="shared" si="8"/>
        <v>0.4059687322722812</v>
      </c>
      <c r="X13" s="381">
        <f t="shared" si="5"/>
        <v>50.932937921143264</v>
      </c>
      <c r="Y13" s="381">
        <f t="shared" si="5"/>
        <v>69.80856987006</v>
      </c>
      <c r="Z13" s="381">
        <f t="shared" si="5"/>
        <v>48.64057809898186</v>
      </c>
      <c r="AA13" s="381">
        <f t="shared" si="5"/>
        <v>50.932937921143264</v>
      </c>
      <c r="AB13" s="513">
        <f t="shared" si="1"/>
        <v>15.279881376342978</v>
      </c>
      <c r="AC13" s="392">
        <f t="shared" si="2"/>
        <v>20.942570961018</v>
      </c>
      <c r="AD13" s="392">
        <f t="shared" si="3"/>
        <v>14.592173429694558</v>
      </c>
      <c r="AE13" s="392">
        <f t="shared" si="4"/>
        <v>15.279881376342978</v>
      </c>
      <c r="AF13" s="381">
        <v>-2</v>
      </c>
      <c r="AG13" s="514">
        <v>-1</v>
      </c>
    </row>
    <row r="14" spans="1:33" s="448" customFormat="1" ht="10.5">
      <c r="A14" s="348">
        <f>Demography!A13</f>
        <v>10</v>
      </c>
      <c r="B14" s="378">
        <v>37098</v>
      </c>
      <c r="C14" s="379">
        <f>IF(B14="","",B14-'Visit 1'!B14)</f>
        <v>224</v>
      </c>
      <c r="D14" s="379">
        <f>IF(B14="","",B14-'Visit 2'!B14)</f>
        <v>7</v>
      </c>
      <c r="E14" s="392">
        <f>1+2+2+1+2+2+3+3</f>
        <v>16</v>
      </c>
      <c r="F14" s="392">
        <f t="shared" si="0"/>
        <v>2.2857142857142856</v>
      </c>
      <c r="G14" s="352">
        <v>21</v>
      </c>
      <c r="H14" s="379">
        <v>21</v>
      </c>
      <c r="I14" s="379">
        <v>100</v>
      </c>
      <c r="J14" s="379">
        <v>0</v>
      </c>
      <c r="K14" s="379">
        <v>21</v>
      </c>
      <c r="L14" s="379">
        <v>159</v>
      </c>
      <c r="M14" s="379">
        <v>-2</v>
      </c>
      <c r="N14" s="379">
        <v>21</v>
      </c>
      <c r="O14" s="379">
        <v>159</v>
      </c>
      <c r="P14" s="379">
        <v>2</v>
      </c>
      <c r="Q14" s="379">
        <v>21</v>
      </c>
      <c r="R14" s="379">
        <v>100</v>
      </c>
      <c r="S14" s="379">
        <v>0</v>
      </c>
      <c r="T14" s="392">
        <f t="shared" si="9"/>
        <v>0.6989700043360189</v>
      </c>
      <c r="U14" s="392">
        <f t="shared" si="6"/>
        <v>0.9403671286564703</v>
      </c>
      <c r="V14" s="392">
        <f t="shared" si="7"/>
        <v>0.8603671286564702</v>
      </c>
      <c r="W14" s="392">
        <f t="shared" si="8"/>
        <v>0.6989700043360189</v>
      </c>
      <c r="X14" s="381">
        <f t="shared" si="5"/>
        <v>100.00000000000003</v>
      </c>
      <c r="Y14" s="381">
        <f t="shared" si="5"/>
        <v>174.34003318676645</v>
      </c>
      <c r="Z14" s="381">
        <f t="shared" si="5"/>
        <v>145.00972345758964</v>
      </c>
      <c r="AA14" s="381">
        <f t="shared" si="5"/>
        <v>100.00000000000003</v>
      </c>
      <c r="AB14" s="513">
        <f t="shared" si="1"/>
        <v>30.000000000000007</v>
      </c>
      <c r="AC14" s="392">
        <f t="shared" si="2"/>
        <v>52.302009956029934</v>
      </c>
      <c r="AD14" s="392">
        <f t="shared" si="3"/>
        <v>43.502917037276895</v>
      </c>
      <c r="AE14" s="392">
        <f t="shared" si="4"/>
        <v>30.000000000000007</v>
      </c>
      <c r="AF14" s="381">
        <v>-1</v>
      </c>
      <c r="AG14" s="514">
        <v>-3</v>
      </c>
    </row>
    <row r="15" spans="1:33" s="448" customFormat="1" ht="10.5">
      <c r="A15" s="348">
        <f>Demography!A14</f>
        <v>11</v>
      </c>
      <c r="B15" s="378">
        <v>37071</v>
      </c>
      <c r="C15" s="379">
        <f>IF(B15="","",B15-'Visit 1'!B15)</f>
        <v>132</v>
      </c>
      <c r="D15" s="379">
        <f>IF(B15="","",B15-'Visit 2'!B15)</f>
        <v>10</v>
      </c>
      <c r="E15" s="392">
        <f>1+2.5+2+1+1+2+2+2.5+4</f>
        <v>18</v>
      </c>
      <c r="F15" s="392">
        <f t="shared" si="0"/>
        <v>1.8</v>
      </c>
      <c r="G15" s="352">
        <v>21</v>
      </c>
      <c r="H15" s="379">
        <v>21</v>
      </c>
      <c r="I15" s="379">
        <v>25</v>
      </c>
      <c r="J15" s="379">
        <v>-2</v>
      </c>
      <c r="K15" s="379">
        <v>21</v>
      </c>
      <c r="L15" s="379">
        <v>40</v>
      </c>
      <c r="M15" s="379">
        <v>-1</v>
      </c>
      <c r="N15" s="379">
        <v>21</v>
      </c>
      <c r="O15" s="379">
        <v>40</v>
      </c>
      <c r="P15" s="379">
        <v>0</v>
      </c>
      <c r="Q15" s="379">
        <v>21</v>
      </c>
      <c r="R15" s="379">
        <v>25</v>
      </c>
      <c r="S15" s="379">
        <v>-2</v>
      </c>
      <c r="T15" s="392">
        <f t="shared" si="9"/>
        <v>0.1369100130080564</v>
      </c>
      <c r="U15" s="392">
        <f t="shared" si="6"/>
        <v>0.3210299956639812</v>
      </c>
      <c r="V15" s="392">
        <f t="shared" si="7"/>
        <v>0.3010299956639812</v>
      </c>
      <c r="W15" s="392">
        <f t="shared" si="8"/>
        <v>0.1369100130080564</v>
      </c>
      <c r="X15" s="381">
        <f t="shared" si="5"/>
        <v>27.411954903579627</v>
      </c>
      <c r="Y15" s="381">
        <f t="shared" si="5"/>
        <v>41.885141922035984</v>
      </c>
      <c r="Z15" s="381">
        <f t="shared" si="5"/>
        <v>40</v>
      </c>
      <c r="AA15" s="381">
        <f t="shared" si="5"/>
        <v>27.411954903579627</v>
      </c>
      <c r="AB15" s="513">
        <f t="shared" si="1"/>
        <v>8.223586471073888</v>
      </c>
      <c r="AC15" s="392">
        <f t="shared" si="2"/>
        <v>12.565542576610795</v>
      </c>
      <c r="AD15" s="392">
        <f t="shared" si="3"/>
        <v>12</v>
      </c>
      <c r="AE15" s="392">
        <f t="shared" si="4"/>
        <v>8.223586471073888</v>
      </c>
      <c r="AF15" s="381">
        <v>0</v>
      </c>
      <c r="AG15" s="514">
        <v>0</v>
      </c>
    </row>
    <row r="16" spans="1:33" s="448" customFormat="1" ht="11.25" thickBot="1">
      <c r="A16" s="355">
        <f>Demography!A15</f>
        <v>12</v>
      </c>
      <c r="B16" s="516">
        <v>37134</v>
      </c>
      <c r="C16" s="395">
        <f>IF(B16="","",B16-'Visit 1'!B16)</f>
        <v>64</v>
      </c>
      <c r="D16" s="395">
        <f>IF(B16="","",B16-'Visit 2'!B16)</f>
        <v>8</v>
      </c>
      <c r="E16" s="362">
        <f>1.5+2.5+0.5+1+2.5</f>
        <v>8</v>
      </c>
      <c r="F16" s="402">
        <f t="shared" si="0"/>
        <v>1</v>
      </c>
      <c r="G16" s="520">
        <v>21</v>
      </c>
      <c r="H16" s="521">
        <v>21</v>
      </c>
      <c r="I16" s="521">
        <v>32</v>
      </c>
      <c r="J16" s="521">
        <v>0</v>
      </c>
      <c r="K16" s="521">
        <v>21</v>
      </c>
      <c r="L16" s="521">
        <v>50</v>
      </c>
      <c r="M16" s="521">
        <v>0</v>
      </c>
      <c r="N16" s="521">
        <v>21</v>
      </c>
      <c r="O16" s="521">
        <v>40</v>
      </c>
      <c r="P16" s="521">
        <v>-1</v>
      </c>
      <c r="Q16" s="521">
        <v>21</v>
      </c>
      <c r="R16" s="521">
        <v>32</v>
      </c>
      <c r="S16" s="521">
        <v>3</v>
      </c>
      <c r="T16" s="402">
        <f t="shared" si="9"/>
        <v>0.2041199826559248</v>
      </c>
      <c r="U16" s="402">
        <f t="shared" si="6"/>
        <v>0.3979400086720376</v>
      </c>
      <c r="V16" s="402">
        <f t="shared" si="7"/>
        <v>0.3210299956639812</v>
      </c>
      <c r="W16" s="402">
        <f t="shared" si="8"/>
        <v>0.1441199826559248</v>
      </c>
      <c r="X16" s="397">
        <f>IF(U16="","",20*10^(U16))</f>
        <v>50</v>
      </c>
      <c r="Y16" s="397">
        <f>IF(V16="","",20*10^(V16))</f>
        <v>41.885141922035984</v>
      </c>
      <c r="Z16" s="397">
        <f t="shared" si="5"/>
        <v>41.885141922035984</v>
      </c>
      <c r="AA16" s="397">
        <f>IF(W16="","",20*10^(W16))</f>
        <v>27.870834878594582</v>
      </c>
      <c r="AB16" s="517">
        <f t="shared" si="1"/>
        <v>15</v>
      </c>
      <c r="AC16" s="402">
        <f t="shared" si="2"/>
        <v>12.565542576610795</v>
      </c>
      <c r="AD16" s="402">
        <f t="shared" si="3"/>
        <v>12.565542576610795</v>
      </c>
      <c r="AE16" s="402">
        <f t="shared" si="4"/>
        <v>8.361250463578374</v>
      </c>
      <c r="AF16" s="397">
        <v>-3.5</v>
      </c>
      <c r="AG16" s="522">
        <v>5</v>
      </c>
    </row>
    <row r="17" spans="1:36" s="28" customFormat="1" ht="10.5">
      <c r="A17" s="11"/>
      <c r="B17" s="112"/>
      <c r="T17" s="60"/>
      <c r="U17" s="60"/>
      <c r="V17" s="60"/>
      <c r="W17" s="60"/>
      <c r="X17" s="55"/>
      <c r="Y17" s="55"/>
      <c r="Z17" s="55"/>
      <c r="AA17" s="55"/>
      <c r="AB17" s="55"/>
      <c r="AC17" s="55"/>
      <c r="AD17" s="55"/>
      <c r="AE17" s="55"/>
      <c r="AH17" s="6"/>
      <c r="AI17" s="6"/>
      <c r="AJ17" s="6"/>
    </row>
    <row r="18" spans="1:33" ht="11.25" thickBot="1">
      <c r="A18" s="11"/>
      <c r="B18" s="11"/>
      <c r="C18" s="11"/>
      <c r="D18" s="11"/>
      <c r="F18" s="58"/>
      <c r="G18" s="58"/>
      <c r="H18" s="58"/>
      <c r="I18" s="58"/>
      <c r="J18" s="58"/>
      <c r="K18" s="58"/>
      <c r="L18" s="58"/>
      <c r="M18" s="58"/>
      <c r="N18" s="58"/>
      <c r="O18" s="58"/>
      <c r="P18" s="58"/>
      <c r="Q18" s="58"/>
      <c r="R18" s="58"/>
      <c r="S18" s="58"/>
      <c r="T18" s="58"/>
      <c r="U18" s="58"/>
      <c r="V18" s="58"/>
      <c r="W18" s="60"/>
      <c r="X18" s="60"/>
      <c r="Y18" s="60"/>
      <c r="Z18" s="60"/>
      <c r="AA18" s="60"/>
      <c r="AB18" s="60"/>
      <c r="AC18" s="60"/>
      <c r="AD18" s="60"/>
      <c r="AE18" s="60"/>
      <c r="AF18" s="60"/>
      <c r="AG18" s="60"/>
    </row>
    <row r="19" spans="3:33" ht="10.5">
      <c r="C19" s="181" t="s">
        <v>199</v>
      </c>
      <c r="D19" s="296"/>
      <c r="E19" s="182"/>
      <c r="F19" s="55"/>
      <c r="G19" s="55"/>
      <c r="H19" s="55"/>
      <c r="I19" s="58"/>
      <c r="J19" s="58"/>
      <c r="K19" s="58"/>
      <c r="L19" s="58"/>
      <c r="M19" s="58"/>
      <c r="N19" s="58"/>
      <c r="O19" s="58"/>
      <c r="P19" s="58"/>
      <c r="Q19" s="58"/>
      <c r="R19" s="58"/>
      <c r="S19" s="58"/>
      <c r="T19" s="58"/>
      <c r="U19" s="58"/>
      <c r="V19" s="58"/>
      <c r="W19" s="58"/>
      <c r="X19"/>
      <c r="Y19"/>
      <c r="Z19"/>
      <c r="AA19"/>
      <c r="AB19"/>
      <c r="AC19"/>
      <c r="AD19"/>
      <c r="AE19"/>
      <c r="AF19" s="58"/>
      <c r="AG19" s="58"/>
    </row>
    <row r="20" spans="3:31" ht="10.5">
      <c r="C20" s="113"/>
      <c r="D20" s="114" t="s">
        <v>198</v>
      </c>
      <c r="E20" s="115" t="s">
        <v>197</v>
      </c>
      <c r="F20" s="56"/>
      <c r="G20" s="56"/>
      <c r="H20" s="56"/>
      <c r="X20"/>
      <c r="Y20"/>
      <c r="Z20"/>
      <c r="AA20"/>
      <c r="AB20"/>
      <c r="AC20"/>
      <c r="AD20"/>
      <c r="AE20"/>
    </row>
    <row r="21" spans="3:31" ht="10.5">
      <c r="C21" s="62" t="s">
        <v>175</v>
      </c>
      <c r="D21" s="88">
        <f>AVERAGE(D5:D16)</f>
        <v>8.5</v>
      </c>
      <c r="E21" s="94">
        <f>D21/7</f>
        <v>1.2142857142857142</v>
      </c>
      <c r="F21" s="56"/>
      <c r="G21" s="56"/>
      <c r="H21" s="56"/>
      <c r="X21"/>
      <c r="Y21"/>
      <c r="Z21"/>
      <c r="AA21"/>
      <c r="AB21"/>
      <c r="AC21"/>
      <c r="AD21"/>
      <c r="AE21"/>
    </row>
    <row r="22" spans="3:31" ht="10.5">
      <c r="C22" s="62" t="s">
        <v>174</v>
      </c>
      <c r="D22" s="93">
        <f>STDEV(D5:D16)</f>
        <v>2.5045413298101655</v>
      </c>
      <c r="E22" s="94">
        <f>D22/7</f>
        <v>0.35779161854430935</v>
      </c>
      <c r="F22" s="23"/>
      <c r="G22" s="23"/>
      <c r="H22" s="23"/>
      <c r="X22"/>
      <c r="Y22"/>
      <c r="Z22"/>
      <c r="AA22"/>
      <c r="AB22"/>
      <c r="AC22"/>
      <c r="AD22"/>
      <c r="AE22"/>
    </row>
    <row r="23" spans="3:31" ht="10.5">
      <c r="C23" s="62" t="s">
        <v>120</v>
      </c>
      <c r="D23" s="72">
        <f>MEDIAN(D5:D16)</f>
        <v>7</v>
      </c>
      <c r="E23" s="94">
        <f>D23/7</f>
        <v>1</v>
      </c>
      <c r="F23" s="23"/>
      <c r="G23" s="23"/>
      <c r="H23" s="23"/>
      <c r="X23"/>
      <c r="Y23"/>
      <c r="Z23"/>
      <c r="AA23"/>
      <c r="AB23"/>
      <c r="AC23"/>
      <c r="AD23"/>
      <c r="AE23"/>
    </row>
    <row r="24" spans="3:31" ht="10.5">
      <c r="C24" s="62" t="s">
        <v>118</v>
      </c>
      <c r="D24" s="25">
        <f>MIN(D5:D16)</f>
        <v>7</v>
      </c>
      <c r="E24" s="94">
        <f>D24/7</f>
        <v>1</v>
      </c>
      <c r="X24"/>
      <c r="Y24"/>
      <c r="Z24"/>
      <c r="AA24"/>
      <c r="AB24"/>
      <c r="AC24"/>
      <c r="AD24"/>
      <c r="AE24"/>
    </row>
    <row r="25" spans="3:31" ht="11.25" thickBot="1">
      <c r="C25" s="63" t="s">
        <v>119</v>
      </c>
      <c r="D25" s="38">
        <f>MAX(D5:D16)</f>
        <v>14</v>
      </c>
      <c r="E25" s="116">
        <f>D25/7</f>
        <v>2</v>
      </c>
      <c r="AA25" s="27"/>
      <c r="AB25" s="27"/>
      <c r="AC25" s="27"/>
      <c r="AD25" s="27"/>
      <c r="AE25" s="27"/>
    </row>
    <row r="26" spans="4:31" ht="10.5">
      <c r="D26" s="57"/>
      <c r="AA26" s="27"/>
      <c r="AB26" s="27"/>
      <c r="AC26" s="27"/>
      <c r="AD26" s="27"/>
      <c r="AE26" s="27"/>
    </row>
    <row r="27" ht="10.5">
      <c r="D27" s="56"/>
    </row>
    <row r="28" ht="10.5">
      <c r="D28" s="56"/>
    </row>
    <row r="29" ht="10.5">
      <c r="D29" s="56"/>
    </row>
    <row r="30" spans="2:4" ht="10.5">
      <c r="B30" s="11"/>
      <c r="D30" s="56"/>
    </row>
    <row r="31" spans="2:4" ht="10.5">
      <c r="B31" s="11"/>
      <c r="D31" s="56"/>
    </row>
  </sheetData>
  <mergeCells count="49">
    <mergeCell ref="AA2:AA4"/>
    <mergeCell ref="U3:U4"/>
    <mergeCell ref="X2:X4"/>
    <mergeCell ref="C19:E19"/>
    <mergeCell ref="Z3:Z4"/>
    <mergeCell ref="I3:I4"/>
    <mergeCell ref="O3:O4"/>
    <mergeCell ref="V3:V4"/>
    <mergeCell ref="E3:E4"/>
    <mergeCell ref="G1:G4"/>
    <mergeCell ref="AF1:AG1"/>
    <mergeCell ref="AF2:AF4"/>
    <mergeCell ref="AG2:AG4"/>
    <mergeCell ref="K2:P2"/>
    <mergeCell ref="Q3:Q4"/>
    <mergeCell ref="R3:R4"/>
    <mergeCell ref="S3:S4"/>
    <mergeCell ref="W2:W4"/>
    <mergeCell ref="Y2:Z2"/>
    <mergeCell ref="Y3:Y4"/>
    <mergeCell ref="J3:J4"/>
    <mergeCell ref="P3:P4"/>
    <mergeCell ref="Q2:S2"/>
    <mergeCell ref="K3:K4"/>
    <mergeCell ref="L3:L4"/>
    <mergeCell ref="M3:M4"/>
    <mergeCell ref="N3:N4"/>
    <mergeCell ref="F3:F4"/>
    <mergeCell ref="H3:H4"/>
    <mergeCell ref="A3:A4"/>
    <mergeCell ref="B3:B4"/>
    <mergeCell ref="C3:C4"/>
    <mergeCell ref="D3:D4"/>
    <mergeCell ref="A1:A2"/>
    <mergeCell ref="B2:D2"/>
    <mergeCell ref="B1:F1"/>
    <mergeCell ref="H2:J2"/>
    <mergeCell ref="E2:F2"/>
    <mergeCell ref="I1:S1"/>
    <mergeCell ref="X1:AA1"/>
    <mergeCell ref="T2:T4"/>
    <mergeCell ref="AB1:AE1"/>
    <mergeCell ref="AB2:AB4"/>
    <mergeCell ref="AC2:AD2"/>
    <mergeCell ref="AE2:AE4"/>
    <mergeCell ref="AC3:AC4"/>
    <mergeCell ref="AD3:AD4"/>
    <mergeCell ref="T1:W1"/>
    <mergeCell ref="U2:V2"/>
  </mergeCells>
  <printOption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dimension ref="A1:AM29"/>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L26" sqref="L26"/>
    </sheetView>
  </sheetViews>
  <sheetFormatPr defaultColWidth="9.140625" defaultRowHeight="12"/>
  <cols>
    <col min="1" max="1" width="19.421875" style="0" customWidth="1"/>
    <col min="2" max="2" width="12.00390625" style="0" customWidth="1"/>
    <col min="3" max="3" width="12.00390625" style="5" customWidth="1"/>
    <col min="4" max="5" width="9.8515625" style="0" customWidth="1"/>
    <col min="6" max="6" width="12.28125" style="0" customWidth="1"/>
    <col min="7" max="9" width="12.00390625" style="0" customWidth="1"/>
    <col min="10" max="10" width="8.7109375" style="0" customWidth="1"/>
    <col min="11" max="11" width="8.8515625" style="0" customWidth="1"/>
    <col min="12" max="12" width="12.00390625" style="0" customWidth="1"/>
    <col min="13" max="13" width="8.421875" style="0" customWidth="1"/>
    <col min="14" max="14" width="8.00390625" style="0" customWidth="1"/>
    <col min="15" max="15" width="12.00390625" style="0" customWidth="1"/>
    <col min="16" max="16" width="9.00390625" style="0" customWidth="1"/>
    <col min="17" max="17" width="8.28125" style="0" customWidth="1"/>
    <col min="18" max="18" width="12.00390625" style="0" customWidth="1"/>
    <col min="19" max="19" width="8.7109375" style="0" customWidth="1"/>
    <col min="20" max="20" width="9.140625" style="0" customWidth="1"/>
    <col min="21" max="21" width="12.28125" style="0" customWidth="1"/>
    <col min="22" max="23" width="12.00390625" style="0" customWidth="1"/>
    <col min="24" max="24" width="8.28125" style="0" customWidth="1"/>
    <col min="25" max="27" width="12.00390625" style="0" customWidth="1"/>
    <col min="28" max="28" width="8.28125" style="0" customWidth="1"/>
    <col min="29" max="29" width="10.140625" style="0" customWidth="1"/>
    <col min="30" max="32" width="8.28125" style="0" customWidth="1"/>
    <col min="33" max="34" width="12.00390625" style="0" customWidth="1"/>
    <col min="35" max="35" width="19.28125" style="0" customWidth="1"/>
    <col min="36" max="16384" width="12.00390625" style="0" customWidth="1"/>
  </cols>
  <sheetData>
    <row r="1" spans="1:34" ht="30" customHeight="1">
      <c r="A1" s="229" t="s">
        <v>111</v>
      </c>
      <c r="B1" s="509" t="s">
        <v>149</v>
      </c>
      <c r="C1" s="510"/>
      <c r="D1" s="510"/>
      <c r="E1" s="510"/>
      <c r="F1" s="510"/>
      <c r="G1" s="511"/>
      <c r="H1" s="299" t="s">
        <v>171</v>
      </c>
      <c r="I1" s="198"/>
      <c r="J1" s="246" t="s">
        <v>62</v>
      </c>
      <c r="K1" s="246"/>
      <c r="L1" s="246"/>
      <c r="M1" s="246"/>
      <c r="N1" s="246"/>
      <c r="O1" s="246"/>
      <c r="P1" s="246"/>
      <c r="Q1" s="246"/>
      <c r="R1" s="246"/>
      <c r="S1" s="246"/>
      <c r="T1" s="246"/>
      <c r="U1" s="291" t="s">
        <v>8</v>
      </c>
      <c r="V1" s="291"/>
      <c r="W1" s="291"/>
      <c r="X1" s="291"/>
      <c r="Y1" s="273" t="s">
        <v>169</v>
      </c>
      <c r="Z1" s="285"/>
      <c r="AA1" s="285"/>
      <c r="AB1" s="285"/>
      <c r="AC1" s="286" t="s">
        <v>201</v>
      </c>
      <c r="AD1" s="243"/>
      <c r="AE1" s="243"/>
      <c r="AF1" s="243"/>
      <c r="AG1" s="293" t="s">
        <v>36</v>
      </c>
      <c r="AH1" s="294"/>
    </row>
    <row r="2" spans="1:39" ht="34.5" customHeight="1">
      <c r="A2" s="241"/>
      <c r="B2" s="297" t="s">
        <v>46</v>
      </c>
      <c r="C2" s="297"/>
      <c r="D2" s="297"/>
      <c r="E2" s="297"/>
      <c r="F2" s="298" t="s">
        <v>52</v>
      </c>
      <c r="G2" s="298"/>
      <c r="H2" s="300"/>
      <c r="I2" s="291" t="s">
        <v>101</v>
      </c>
      <c r="J2" s="249"/>
      <c r="K2" s="249"/>
      <c r="L2" s="301" t="s">
        <v>87</v>
      </c>
      <c r="M2" s="301"/>
      <c r="N2" s="301"/>
      <c r="O2" s="301"/>
      <c r="P2" s="301"/>
      <c r="Q2" s="301"/>
      <c r="R2" s="292" t="s">
        <v>104</v>
      </c>
      <c r="S2" s="292"/>
      <c r="T2" s="292"/>
      <c r="U2" s="172" t="s">
        <v>101</v>
      </c>
      <c r="V2" s="246" t="s">
        <v>87</v>
      </c>
      <c r="W2" s="246"/>
      <c r="X2" s="231" t="s">
        <v>104</v>
      </c>
      <c r="Y2" s="289" t="s">
        <v>107</v>
      </c>
      <c r="Z2" s="295" t="s">
        <v>87</v>
      </c>
      <c r="AA2" s="295"/>
      <c r="AB2" s="289" t="s">
        <v>104</v>
      </c>
      <c r="AC2" s="287" t="s">
        <v>107</v>
      </c>
      <c r="AD2" s="288" t="s">
        <v>87</v>
      </c>
      <c r="AE2" s="288"/>
      <c r="AF2" s="287" t="s">
        <v>104</v>
      </c>
      <c r="AG2" s="143" t="s">
        <v>38</v>
      </c>
      <c r="AH2" s="250" t="s">
        <v>39</v>
      </c>
      <c r="AJ2" s="20"/>
      <c r="AK2" s="19"/>
      <c r="AL2" s="8"/>
      <c r="AM2" s="8"/>
    </row>
    <row r="3" spans="1:39" ht="12.75">
      <c r="A3" s="512" t="s">
        <v>234</v>
      </c>
      <c r="B3" s="271" t="s">
        <v>85</v>
      </c>
      <c r="C3" s="271" t="s">
        <v>71</v>
      </c>
      <c r="D3" s="271" t="s">
        <v>53</v>
      </c>
      <c r="E3" s="271" t="s">
        <v>56</v>
      </c>
      <c r="F3" s="143" t="s">
        <v>57</v>
      </c>
      <c r="G3" s="143" t="s">
        <v>63</v>
      </c>
      <c r="H3" s="300"/>
      <c r="I3" s="172" t="s">
        <v>172</v>
      </c>
      <c r="J3" s="172" t="s">
        <v>105</v>
      </c>
      <c r="K3" s="172" t="s">
        <v>51</v>
      </c>
      <c r="L3" s="254" t="s">
        <v>172</v>
      </c>
      <c r="M3" s="254" t="s">
        <v>82</v>
      </c>
      <c r="N3" s="254" t="s">
        <v>51</v>
      </c>
      <c r="O3" s="254" t="s">
        <v>172</v>
      </c>
      <c r="P3" s="254" t="s">
        <v>83</v>
      </c>
      <c r="Q3" s="254" t="s">
        <v>51</v>
      </c>
      <c r="R3" s="256" t="s">
        <v>172</v>
      </c>
      <c r="S3" s="256" t="s">
        <v>105</v>
      </c>
      <c r="T3" s="256" t="s">
        <v>51</v>
      </c>
      <c r="U3" s="172"/>
      <c r="V3" s="144" t="s">
        <v>82</v>
      </c>
      <c r="W3" s="144" t="s">
        <v>83</v>
      </c>
      <c r="X3" s="231"/>
      <c r="Y3" s="289"/>
      <c r="Z3" s="287" t="s">
        <v>82</v>
      </c>
      <c r="AA3" s="287" t="s">
        <v>83</v>
      </c>
      <c r="AB3" s="289"/>
      <c r="AC3" s="287"/>
      <c r="AD3" s="289" t="s">
        <v>82</v>
      </c>
      <c r="AE3" s="289" t="s">
        <v>83</v>
      </c>
      <c r="AF3" s="287"/>
      <c r="AG3" s="143"/>
      <c r="AH3" s="250"/>
      <c r="AJ3" s="20"/>
      <c r="AK3" s="19"/>
      <c r="AL3" s="8"/>
      <c r="AM3" s="8"/>
    </row>
    <row r="4" spans="1:37" s="4" customFormat="1" ht="23.25" customHeight="1">
      <c r="A4" s="512"/>
      <c r="B4" s="271"/>
      <c r="C4" s="271"/>
      <c r="D4" s="271"/>
      <c r="E4" s="271"/>
      <c r="F4" s="143"/>
      <c r="G4" s="143"/>
      <c r="H4" s="300"/>
      <c r="I4" s="172"/>
      <c r="J4" s="172"/>
      <c r="K4" s="172"/>
      <c r="L4" s="254"/>
      <c r="M4" s="254"/>
      <c r="N4" s="254"/>
      <c r="O4" s="254"/>
      <c r="P4" s="254"/>
      <c r="Q4" s="254"/>
      <c r="R4" s="256"/>
      <c r="S4" s="256"/>
      <c r="T4" s="256"/>
      <c r="U4" s="172"/>
      <c r="V4" s="144"/>
      <c r="W4" s="144"/>
      <c r="X4" s="231"/>
      <c r="Y4" s="289"/>
      <c r="Z4" s="287"/>
      <c r="AA4" s="287"/>
      <c r="AB4" s="289"/>
      <c r="AC4" s="287"/>
      <c r="AD4" s="289"/>
      <c r="AE4" s="289"/>
      <c r="AF4" s="287"/>
      <c r="AG4" s="143"/>
      <c r="AH4" s="250"/>
      <c r="AI4"/>
      <c r="AJ4" s="18"/>
      <c r="AK4" s="18"/>
    </row>
    <row r="5" spans="1:34" ht="12">
      <c r="A5" s="47">
        <f>Demography!A4</f>
        <v>1</v>
      </c>
      <c r="B5" s="92">
        <v>35992</v>
      </c>
      <c r="C5" s="37">
        <f>IF(B5="","",B5-'Visit 1'!B5)</f>
        <v>75</v>
      </c>
      <c r="D5" s="37">
        <f>IF(B5="","",B5-'Visit 2'!B5)</f>
        <v>27</v>
      </c>
      <c r="E5" s="37">
        <f>IF(B5="","",B5-'Visit 3'!B5)</f>
        <v>14</v>
      </c>
      <c r="F5" s="86"/>
      <c r="G5" s="86">
        <f>IF(F5="","",F5/E5)</f>
      </c>
      <c r="H5" s="86"/>
      <c r="I5" s="37" t="s">
        <v>81</v>
      </c>
      <c r="J5" s="37"/>
      <c r="K5" s="37"/>
      <c r="L5" s="37" t="s">
        <v>81</v>
      </c>
      <c r="M5" s="37"/>
      <c r="N5" s="37"/>
      <c r="O5" s="37" t="s">
        <v>81</v>
      </c>
      <c r="P5" s="37"/>
      <c r="Q5" s="37"/>
      <c r="R5" s="37" t="s">
        <v>81</v>
      </c>
      <c r="S5" s="37"/>
      <c r="T5" s="37"/>
      <c r="U5" s="37" t="s">
        <v>81</v>
      </c>
      <c r="V5" s="37"/>
      <c r="W5" s="37"/>
      <c r="X5" s="37"/>
      <c r="Y5" s="37"/>
      <c r="Z5" s="37"/>
      <c r="AA5" s="37"/>
      <c r="AB5" s="37"/>
      <c r="AC5" s="37"/>
      <c r="AD5" s="37"/>
      <c r="AE5" s="37"/>
      <c r="AF5" s="37"/>
      <c r="AG5" s="68">
        <v>-1</v>
      </c>
      <c r="AH5" s="94">
        <v>-4</v>
      </c>
    </row>
    <row r="6" spans="1:34" ht="12">
      <c r="A6" s="47">
        <f>Demography!A5</f>
        <v>2</v>
      </c>
      <c r="B6" s="92">
        <v>36083</v>
      </c>
      <c r="C6" s="37">
        <f>IF(B6="","",B6-'Visit 1'!B6)</f>
        <v>90</v>
      </c>
      <c r="D6" s="37">
        <f>IF(B6="","",B6-'Visit 2'!B6)</f>
        <v>14</v>
      </c>
      <c r="E6" s="37">
        <f>IF(B6="","",B6-'Visit 3'!B6)</f>
        <v>7</v>
      </c>
      <c r="F6" s="86">
        <v>4</v>
      </c>
      <c r="G6" s="86">
        <f aca="true" t="shared" si="0" ref="G6:G16">IF(F6="","",F6/E6)</f>
        <v>0.5714285714285714</v>
      </c>
      <c r="H6" s="87">
        <v>10</v>
      </c>
      <c r="I6" s="87">
        <v>15</v>
      </c>
      <c r="J6" s="37">
        <v>50</v>
      </c>
      <c r="K6" s="37">
        <v>1</v>
      </c>
      <c r="L6" s="37">
        <v>15</v>
      </c>
      <c r="M6" s="37">
        <v>100</v>
      </c>
      <c r="N6" s="37">
        <v>1</v>
      </c>
      <c r="O6" s="37">
        <v>15</v>
      </c>
      <c r="P6" s="37">
        <v>80</v>
      </c>
      <c r="Q6" s="37">
        <v>0</v>
      </c>
      <c r="R6" s="37">
        <v>15</v>
      </c>
      <c r="S6" s="37">
        <v>70</v>
      </c>
      <c r="T6" s="37">
        <v>2</v>
      </c>
      <c r="U6" s="86">
        <f>IF(J6="","",LOG10(((J6*$H6)/I6)/20)-K6*(0.1/5))</f>
        <v>0.2018487496163564</v>
      </c>
      <c r="V6" s="86">
        <f>IF(M6="","",LOG10(((M6*$H6)/L6)/20)-N6*(0.1/5))</f>
        <v>0.5028787452803376</v>
      </c>
      <c r="W6" s="86">
        <f>IF(P6="","",LOG10(((P6*$H6)/O6)/20)-Q6*(0.1/5))</f>
        <v>0.4259687322722812</v>
      </c>
      <c r="X6" s="86">
        <f>IF(S6="","",LOG10(((S6*$H6)/R6)/20)-T6*(0.1/5))</f>
        <v>0.32797678529459434</v>
      </c>
      <c r="Y6" s="88">
        <f>IF(U6="","",20*10^(U6))</f>
        <v>31.833086200714536</v>
      </c>
      <c r="Z6" s="88">
        <f>IF(V6="","",20*10^(V6))</f>
        <v>63.66617240142907</v>
      </c>
      <c r="AA6" s="88">
        <f>IF(W6="","",20*10^(W6))</f>
        <v>53.33333333333335</v>
      </c>
      <c r="AB6" s="88">
        <f>IF(X6="","",20*10^(X6))</f>
        <v>42.56050583660912</v>
      </c>
      <c r="AC6" s="71">
        <f>6/(20/Y6)</f>
        <v>9.54992586021436</v>
      </c>
      <c r="AD6" s="100">
        <f>6/(20/Z6)</f>
        <v>19.09985172042872</v>
      </c>
      <c r="AE6" s="100">
        <f>6/(20/AA6)</f>
        <v>16.000000000000004</v>
      </c>
      <c r="AF6" s="100">
        <f>6/(20/AB6)</f>
        <v>12.768151750982735</v>
      </c>
      <c r="AG6" s="68">
        <v>0</v>
      </c>
      <c r="AH6" s="94">
        <v>-5</v>
      </c>
    </row>
    <row r="7" spans="1:34" ht="12">
      <c r="A7" s="47">
        <f>Demography!A6</f>
        <v>3</v>
      </c>
      <c r="B7" s="92">
        <v>36097</v>
      </c>
      <c r="C7" s="37">
        <f>IF(B7="","",B7-'Visit 1'!B7)</f>
        <v>98</v>
      </c>
      <c r="D7" s="37">
        <f>IF(B7="","",B7-'Visit 2'!B7)</f>
        <v>13</v>
      </c>
      <c r="E7" s="37">
        <f>IF(B7="","",B7-'Visit 3'!B7)</f>
        <v>6</v>
      </c>
      <c r="F7" s="86">
        <v>11</v>
      </c>
      <c r="G7" s="86">
        <f t="shared" si="0"/>
        <v>1.8333333333333333</v>
      </c>
      <c r="H7" s="87">
        <v>10</v>
      </c>
      <c r="I7" s="87">
        <v>15</v>
      </c>
      <c r="J7" s="37">
        <v>30</v>
      </c>
      <c r="K7" s="37">
        <v>-1</v>
      </c>
      <c r="L7" s="37">
        <v>15</v>
      </c>
      <c r="M7" s="37">
        <v>80</v>
      </c>
      <c r="N7" s="37">
        <v>1</v>
      </c>
      <c r="O7" s="37">
        <v>15</v>
      </c>
      <c r="P7" s="37">
        <v>70</v>
      </c>
      <c r="Q7" s="37">
        <v>1</v>
      </c>
      <c r="R7" s="37">
        <v>15</v>
      </c>
      <c r="S7" s="37">
        <v>30</v>
      </c>
      <c r="T7" s="37">
        <v>2</v>
      </c>
      <c r="U7" s="86">
        <f>IF(J7="","",LOG10(((J7*$H7)/I7)/20)-K7*(0.1/5))</f>
        <v>0.02</v>
      </c>
      <c r="V7" s="86">
        <f aca="true" t="shared" si="1" ref="V7:V16">IF(M7="","",LOG10(((M7*$H7)/L7)/20)-N7*(0.1/5))</f>
        <v>0.4059687322722812</v>
      </c>
      <c r="W7" s="86">
        <f>IF(P7="","",LOG10(((P7*$H7)/O7)/20)-Q7*(0.1/5))</f>
        <v>0.3479767852945943</v>
      </c>
      <c r="X7" s="86">
        <f>IF(S7="","",LOG10(((S7*$H7)/R7)/20)-T7*(0.1/5))</f>
        <v>-0.04</v>
      </c>
      <c r="Y7" s="88">
        <f aca="true" t="shared" si="2" ref="Y7:Y16">IF(U7="","",20*10^(U7))</f>
        <v>20.942570961017992</v>
      </c>
      <c r="Z7" s="88">
        <f aca="true" t="shared" si="3" ref="Z7:Z16">IF(V7="","",20*10^(V7))</f>
        <v>50.932937921143264</v>
      </c>
      <c r="AA7" s="88">
        <f aca="true" t="shared" si="4" ref="AA7:AA16">IF(W7="","",20*10^(W7))</f>
        <v>44.56632068100034</v>
      </c>
      <c r="AB7" s="88">
        <f aca="true" t="shared" si="5" ref="AB7:AB16">IF(X7="","",20*10^(X7))</f>
        <v>18.240216787118193</v>
      </c>
      <c r="AC7" s="71">
        <f aca="true" t="shared" si="6" ref="AC7:AC16">6/(20/Y7)</f>
        <v>6.282771288305398</v>
      </c>
      <c r="AD7" s="100">
        <f aca="true" t="shared" si="7" ref="AD7:AD16">6/(20/Z7)</f>
        <v>15.279881376342978</v>
      </c>
      <c r="AE7" s="100">
        <f aca="true" t="shared" si="8" ref="AE7:AE16">6/(20/AA7)</f>
        <v>13.369896204300103</v>
      </c>
      <c r="AF7" s="100">
        <f aca="true" t="shared" si="9" ref="AF7:AF16">6/(20/AB7)</f>
        <v>5.472065036135458</v>
      </c>
      <c r="AG7" s="68">
        <v>-1</v>
      </c>
      <c r="AH7" s="94">
        <v>1</v>
      </c>
    </row>
    <row r="8" spans="1:34" ht="12">
      <c r="A8" s="47">
        <f>Demography!A7</f>
        <v>4</v>
      </c>
      <c r="B8" s="92">
        <v>36117</v>
      </c>
      <c r="C8" s="37">
        <f>IF(B8="","",B8-'Visit 1'!B8)</f>
        <v>116</v>
      </c>
      <c r="D8" s="37">
        <f>IF(B8="","",B8-'Visit 2'!B8)</f>
        <v>21</v>
      </c>
      <c r="E8" s="37">
        <f>IF(B8="","",B8-'Visit 3'!B8)</f>
        <v>14</v>
      </c>
      <c r="F8" s="86">
        <v>12</v>
      </c>
      <c r="G8" s="86">
        <f t="shared" si="0"/>
        <v>0.8571428571428571</v>
      </c>
      <c r="H8" s="87">
        <v>10</v>
      </c>
      <c r="I8" s="87">
        <v>15</v>
      </c>
      <c r="J8" s="37">
        <v>30</v>
      </c>
      <c r="K8" s="37">
        <v>0</v>
      </c>
      <c r="L8" s="37">
        <v>15</v>
      </c>
      <c r="M8" s="37">
        <v>70</v>
      </c>
      <c r="N8" s="37">
        <v>-1</v>
      </c>
      <c r="O8" s="37">
        <v>15</v>
      </c>
      <c r="P8" s="37">
        <v>50</v>
      </c>
      <c r="Q8" s="37">
        <v>0</v>
      </c>
      <c r="R8" s="37">
        <v>15</v>
      </c>
      <c r="S8" s="37">
        <v>30</v>
      </c>
      <c r="T8" s="37">
        <v>0</v>
      </c>
      <c r="U8" s="86">
        <f>IF(J8="","",LOG10(((J8*$H8)/I8)/20)-K8*(0.1/5))</f>
        <v>0</v>
      </c>
      <c r="V8" s="86">
        <f t="shared" si="1"/>
        <v>0.38797678529459434</v>
      </c>
      <c r="W8" s="86">
        <f aca="true" t="shared" si="10" ref="W8:W16">IF(P8="","",LOG10(((P8*$H8)/O8)/20)-Q8*(0.1/5))</f>
        <v>0.2218487496163564</v>
      </c>
      <c r="X8" s="86">
        <f aca="true" t="shared" si="11" ref="X8:X15">IF(S8="","",LOG10(((S8*$H8)/R8)/20)-T8*(0.1/5))</f>
        <v>0</v>
      </c>
      <c r="Y8" s="88">
        <f t="shared" si="2"/>
        <v>20</v>
      </c>
      <c r="Z8" s="88">
        <f t="shared" si="3"/>
        <v>48.86599890904198</v>
      </c>
      <c r="AA8" s="88">
        <f t="shared" si="4"/>
        <v>33.33333333333334</v>
      </c>
      <c r="AB8" s="88">
        <f t="shared" si="5"/>
        <v>20</v>
      </c>
      <c r="AC8" s="71">
        <f t="shared" si="6"/>
        <v>6</v>
      </c>
      <c r="AD8" s="100">
        <f t="shared" si="7"/>
        <v>14.659799672712593</v>
      </c>
      <c r="AE8" s="100">
        <f t="shared" si="8"/>
        <v>10.000000000000002</v>
      </c>
      <c r="AF8" s="100">
        <f t="shared" si="9"/>
        <v>6</v>
      </c>
      <c r="AG8" s="68">
        <v>3</v>
      </c>
      <c r="AH8" s="94">
        <v>3</v>
      </c>
    </row>
    <row r="9" spans="1:34" ht="12">
      <c r="A9" s="47">
        <f>Demography!A8</f>
        <v>5</v>
      </c>
      <c r="B9" s="92">
        <v>36183</v>
      </c>
      <c r="C9" s="37">
        <f>IF(B9="","",B9-'Visit 1'!B9)</f>
        <v>121</v>
      </c>
      <c r="D9" s="37">
        <f>IF(B9="","",B9-'Visit 2'!B9)</f>
        <v>14</v>
      </c>
      <c r="E9" s="37">
        <f>IF(B9="","",B9-'Visit 3'!B9)</f>
        <v>7</v>
      </c>
      <c r="F9" s="86">
        <v>17</v>
      </c>
      <c r="G9" s="86">
        <f t="shared" si="0"/>
        <v>2.4285714285714284</v>
      </c>
      <c r="H9" s="87">
        <v>10</v>
      </c>
      <c r="I9" s="87">
        <v>15</v>
      </c>
      <c r="J9" s="37">
        <v>60</v>
      </c>
      <c r="K9" s="37">
        <v>-2</v>
      </c>
      <c r="L9" s="37">
        <v>15</v>
      </c>
      <c r="M9" s="37">
        <v>50</v>
      </c>
      <c r="N9" s="37">
        <v>2</v>
      </c>
      <c r="O9" s="37">
        <v>15</v>
      </c>
      <c r="P9" s="37">
        <v>50</v>
      </c>
      <c r="Q9" s="37">
        <v>-1</v>
      </c>
      <c r="R9" s="37">
        <v>15</v>
      </c>
      <c r="S9" s="37">
        <v>50</v>
      </c>
      <c r="T9" s="37">
        <v>-1</v>
      </c>
      <c r="U9" s="86">
        <f aca="true" t="shared" si="12" ref="U9:U16">IF(J9="","",LOG10(((J9*$H9)/I9)/20)-K9*(0.1/5))</f>
        <v>0.3410299956639812</v>
      </c>
      <c r="V9" s="86">
        <f t="shared" si="1"/>
        <v>0.1818487496163564</v>
      </c>
      <c r="W9" s="86">
        <f t="shared" si="10"/>
        <v>0.24184874961635638</v>
      </c>
      <c r="X9" s="86">
        <f t="shared" si="11"/>
        <v>0.24184874961635638</v>
      </c>
      <c r="Y9" s="88">
        <f t="shared" si="2"/>
        <v>43.8591278457274</v>
      </c>
      <c r="Z9" s="88">
        <f t="shared" si="3"/>
        <v>30.40036131186366</v>
      </c>
      <c r="AA9" s="88">
        <f t="shared" si="4"/>
        <v>34.904284935029985</v>
      </c>
      <c r="AB9" s="88">
        <f t="shared" si="5"/>
        <v>34.904284935029985</v>
      </c>
      <c r="AC9" s="71">
        <f t="shared" si="6"/>
        <v>13.15773835371822</v>
      </c>
      <c r="AD9" s="100">
        <f t="shared" si="7"/>
        <v>9.120108393559097</v>
      </c>
      <c r="AE9" s="100">
        <f t="shared" si="8"/>
        <v>10.471285480508996</v>
      </c>
      <c r="AF9" s="100">
        <f t="shared" si="9"/>
        <v>10.471285480508996</v>
      </c>
      <c r="AG9" s="68">
        <v>2</v>
      </c>
      <c r="AH9" s="94">
        <v>5</v>
      </c>
    </row>
    <row r="10" spans="1:34" ht="12">
      <c r="A10" s="47">
        <f>Demography!A9</f>
        <v>6</v>
      </c>
      <c r="B10" s="92">
        <v>36391</v>
      </c>
      <c r="C10" s="37">
        <f>IF(B10="","",B10-'Visit 1'!B10)</f>
        <v>135</v>
      </c>
      <c r="D10" s="37">
        <f>IF(B10="","",B10-'Visit 2'!B10)</f>
        <v>35</v>
      </c>
      <c r="E10" s="37">
        <f>IF(B10="","",B10-'Visit 3'!B10)</f>
        <v>21</v>
      </c>
      <c r="F10" s="86"/>
      <c r="G10" s="86">
        <f t="shared" si="0"/>
      </c>
      <c r="H10" s="87">
        <v>10</v>
      </c>
      <c r="I10" s="87">
        <v>15</v>
      </c>
      <c r="J10" s="37">
        <v>100</v>
      </c>
      <c r="K10" s="37">
        <v>-2</v>
      </c>
      <c r="L10" s="37">
        <v>15</v>
      </c>
      <c r="M10" s="37">
        <v>100</v>
      </c>
      <c r="N10" s="37">
        <v>-1</v>
      </c>
      <c r="O10" s="37">
        <v>15</v>
      </c>
      <c r="P10" s="37">
        <v>100</v>
      </c>
      <c r="Q10" s="37">
        <v>2</v>
      </c>
      <c r="R10" s="37">
        <v>15</v>
      </c>
      <c r="S10" s="37">
        <v>100</v>
      </c>
      <c r="T10" s="37">
        <v>1</v>
      </c>
      <c r="U10" s="86">
        <f t="shared" si="12"/>
        <v>0.5628787452803377</v>
      </c>
      <c r="V10" s="86">
        <f t="shared" si="1"/>
        <v>0.5428787452803376</v>
      </c>
      <c r="W10" s="86">
        <f t="shared" si="10"/>
        <v>0.48287874528033764</v>
      </c>
      <c r="X10" s="86">
        <f t="shared" si="11"/>
        <v>0.5028787452803376</v>
      </c>
      <c r="Y10" s="88">
        <f t="shared" si="2"/>
        <v>73.0985464095457</v>
      </c>
      <c r="Z10" s="88">
        <f t="shared" si="3"/>
        <v>69.80856987006</v>
      </c>
      <c r="AA10" s="88">
        <f t="shared" si="4"/>
        <v>60.80072262372734</v>
      </c>
      <c r="AB10" s="88">
        <f t="shared" si="5"/>
        <v>63.66617240142907</v>
      </c>
      <c r="AC10" s="71">
        <f t="shared" si="6"/>
        <v>21.92956392286371</v>
      </c>
      <c r="AD10" s="100">
        <f t="shared" si="7"/>
        <v>20.942570961018</v>
      </c>
      <c r="AE10" s="100">
        <f t="shared" si="8"/>
        <v>18.2402167871182</v>
      </c>
      <c r="AF10" s="100">
        <f t="shared" si="9"/>
        <v>19.09985172042872</v>
      </c>
      <c r="AG10" s="68">
        <v>-3</v>
      </c>
      <c r="AH10" s="94">
        <v>-1</v>
      </c>
    </row>
    <row r="11" spans="1:34" ht="12">
      <c r="A11" s="47">
        <f>Demography!A10</f>
        <v>7</v>
      </c>
      <c r="B11" s="92">
        <v>36441</v>
      </c>
      <c r="C11" s="37">
        <f>IF(B11="","",B11-'Visit 1'!B11)</f>
        <v>181</v>
      </c>
      <c r="D11" s="37">
        <f>IF(B11="","",B11-'Visit 2'!B11)</f>
        <v>80</v>
      </c>
      <c r="E11" s="37">
        <f>IF(B11="","",B11-'Visit 3'!B11)</f>
        <v>73</v>
      </c>
      <c r="F11" s="86">
        <v>51.5</v>
      </c>
      <c r="G11" s="86">
        <f t="shared" si="0"/>
        <v>0.7054794520547946</v>
      </c>
      <c r="H11" s="87">
        <v>10</v>
      </c>
      <c r="I11" s="87">
        <v>15</v>
      </c>
      <c r="J11" s="37">
        <v>70</v>
      </c>
      <c r="K11" s="37">
        <v>2</v>
      </c>
      <c r="L11" s="37">
        <v>15</v>
      </c>
      <c r="M11" s="37">
        <v>125</v>
      </c>
      <c r="N11" s="37">
        <v>2</v>
      </c>
      <c r="O11" s="37">
        <v>15</v>
      </c>
      <c r="P11" s="37">
        <v>60</v>
      </c>
      <c r="Q11" s="37">
        <v>0</v>
      </c>
      <c r="R11" s="37">
        <v>15</v>
      </c>
      <c r="S11" s="37">
        <v>80</v>
      </c>
      <c r="T11" s="37">
        <v>0</v>
      </c>
      <c r="U11" s="86">
        <f t="shared" si="12"/>
        <v>0.32797678529459434</v>
      </c>
      <c r="V11" s="86">
        <f t="shared" si="1"/>
        <v>0.5797887582883939</v>
      </c>
      <c r="W11" s="86">
        <f t="shared" si="10"/>
        <v>0.3010299956639812</v>
      </c>
      <c r="X11" s="86">
        <f t="shared" si="11"/>
        <v>0.4259687322722812</v>
      </c>
      <c r="Y11" s="88">
        <f t="shared" si="2"/>
        <v>42.56050583660912</v>
      </c>
      <c r="Z11" s="88">
        <f t="shared" si="3"/>
        <v>76.00090327965914</v>
      </c>
      <c r="AA11" s="88">
        <f t="shared" si="4"/>
        <v>40</v>
      </c>
      <c r="AB11" s="88">
        <f t="shared" si="5"/>
        <v>53.33333333333335</v>
      </c>
      <c r="AC11" s="71">
        <f t="shared" si="6"/>
        <v>12.768151750982735</v>
      </c>
      <c r="AD11" s="100">
        <f t="shared" si="7"/>
        <v>22.800270983897743</v>
      </c>
      <c r="AE11" s="100">
        <f t="shared" si="8"/>
        <v>12</v>
      </c>
      <c r="AF11" s="100">
        <f t="shared" si="9"/>
        <v>16.000000000000004</v>
      </c>
      <c r="AG11" s="68">
        <v>-1</v>
      </c>
      <c r="AH11" s="94">
        <v>0</v>
      </c>
    </row>
    <row r="12" spans="1:34" ht="10.5">
      <c r="A12" s="47">
        <f>Demography!A11</f>
        <v>8</v>
      </c>
      <c r="B12" s="92">
        <v>36456</v>
      </c>
      <c r="C12" s="37">
        <f>IF(B12="","",B12-'Visit 1'!B12)</f>
        <v>107</v>
      </c>
      <c r="D12" s="37">
        <f>IF(B12="","",B12-'Visit 2'!B12)</f>
        <v>25</v>
      </c>
      <c r="E12" s="37">
        <f>IF(B12="","",B12-'Visit 3'!B12)</f>
        <v>17</v>
      </c>
      <c r="F12" s="86">
        <v>10.5</v>
      </c>
      <c r="G12" s="86">
        <f t="shared" si="0"/>
        <v>0.6176470588235294</v>
      </c>
      <c r="H12" s="87">
        <v>10</v>
      </c>
      <c r="I12" s="87">
        <v>15</v>
      </c>
      <c r="J12" s="37">
        <v>70</v>
      </c>
      <c r="K12" s="37">
        <v>0</v>
      </c>
      <c r="L12" s="37">
        <v>15</v>
      </c>
      <c r="M12" s="37">
        <v>80</v>
      </c>
      <c r="N12" s="37">
        <v>0</v>
      </c>
      <c r="O12" s="37">
        <v>15</v>
      </c>
      <c r="P12" s="37">
        <v>70</v>
      </c>
      <c r="Q12" s="37">
        <v>-1</v>
      </c>
      <c r="R12" s="37">
        <v>15</v>
      </c>
      <c r="S12" s="37">
        <v>60</v>
      </c>
      <c r="T12" s="37">
        <v>0</v>
      </c>
      <c r="U12" s="86">
        <f t="shared" si="12"/>
        <v>0.3679767852945943</v>
      </c>
      <c r="V12" s="86">
        <f t="shared" si="1"/>
        <v>0.4259687322722812</v>
      </c>
      <c r="W12" s="86">
        <f t="shared" si="10"/>
        <v>0.38797678529459434</v>
      </c>
      <c r="X12" s="86">
        <f t="shared" si="11"/>
        <v>0.3010299956639812</v>
      </c>
      <c r="Y12" s="88">
        <f t="shared" si="2"/>
        <v>46.66666666666666</v>
      </c>
      <c r="Z12" s="88">
        <f t="shared" si="3"/>
        <v>53.33333333333335</v>
      </c>
      <c r="AA12" s="88">
        <f t="shared" si="4"/>
        <v>48.86599890904198</v>
      </c>
      <c r="AB12" s="88">
        <f t="shared" si="5"/>
        <v>40</v>
      </c>
      <c r="AC12" s="71">
        <f t="shared" si="6"/>
        <v>13.999999999999996</v>
      </c>
      <c r="AD12" s="100">
        <f t="shared" si="7"/>
        <v>16.000000000000004</v>
      </c>
      <c r="AE12" s="100">
        <f t="shared" si="8"/>
        <v>14.659799672712593</v>
      </c>
      <c r="AF12" s="100">
        <f t="shared" si="9"/>
        <v>12</v>
      </c>
      <c r="AG12" s="68">
        <v>-1</v>
      </c>
      <c r="AH12" s="94">
        <v>-1</v>
      </c>
    </row>
    <row r="13" spans="1:34" ht="10.5">
      <c r="A13" s="47">
        <f>Demography!A12</f>
        <v>9</v>
      </c>
      <c r="B13" s="85">
        <v>36440</v>
      </c>
      <c r="C13" s="37">
        <f>IF(B13="","",B13-'Visit 1'!B13)</f>
        <v>77</v>
      </c>
      <c r="D13" s="37">
        <f>IF(B13="","",B13-'Visit 2'!B13)</f>
        <v>13</v>
      </c>
      <c r="E13" s="37">
        <f>IF(B13="","",B13-'Visit 3'!B13)</f>
        <v>6</v>
      </c>
      <c r="F13" s="86">
        <v>5</v>
      </c>
      <c r="G13" s="86">
        <f t="shared" si="0"/>
        <v>0.8333333333333334</v>
      </c>
      <c r="H13" s="87">
        <v>10</v>
      </c>
      <c r="I13" s="87">
        <v>15</v>
      </c>
      <c r="J13" s="37">
        <v>80</v>
      </c>
      <c r="K13" s="37">
        <v>0</v>
      </c>
      <c r="L13" s="37">
        <v>15</v>
      </c>
      <c r="M13" s="37">
        <v>100</v>
      </c>
      <c r="N13" s="37">
        <v>2</v>
      </c>
      <c r="O13" s="37">
        <v>15</v>
      </c>
      <c r="P13" s="37">
        <v>80</v>
      </c>
      <c r="Q13" s="37">
        <v>-1</v>
      </c>
      <c r="R13" s="37">
        <v>15</v>
      </c>
      <c r="S13" s="37">
        <v>80</v>
      </c>
      <c r="T13" s="37">
        <v>0</v>
      </c>
      <c r="U13" s="86">
        <f t="shared" si="12"/>
        <v>0.4259687322722812</v>
      </c>
      <c r="V13" s="86">
        <f t="shared" si="1"/>
        <v>0.48287874528033764</v>
      </c>
      <c r="W13" s="86">
        <f t="shared" si="10"/>
        <v>0.44596873227228123</v>
      </c>
      <c r="X13" s="86">
        <f t="shared" si="11"/>
        <v>0.4259687322722812</v>
      </c>
      <c r="Y13" s="88">
        <f t="shared" si="2"/>
        <v>53.33333333333335</v>
      </c>
      <c r="Z13" s="88">
        <f t="shared" si="3"/>
        <v>60.80072262372734</v>
      </c>
      <c r="AA13" s="88">
        <f t="shared" si="4"/>
        <v>55.846855896047984</v>
      </c>
      <c r="AB13" s="88">
        <f t="shared" si="5"/>
        <v>53.33333333333335</v>
      </c>
      <c r="AC13" s="71">
        <f t="shared" si="6"/>
        <v>16.000000000000004</v>
      </c>
      <c r="AD13" s="100">
        <f t="shared" si="7"/>
        <v>18.2402167871182</v>
      </c>
      <c r="AE13" s="100">
        <f t="shared" si="8"/>
        <v>16.754056768814394</v>
      </c>
      <c r="AF13" s="100">
        <f t="shared" si="9"/>
        <v>16.000000000000004</v>
      </c>
      <c r="AG13" s="68">
        <v>-4</v>
      </c>
      <c r="AH13" s="94">
        <v>-4</v>
      </c>
    </row>
    <row r="14" spans="1:34" ht="10.5">
      <c r="A14" s="47">
        <f>Demography!A13</f>
        <v>10</v>
      </c>
      <c r="B14" s="85">
        <v>37104</v>
      </c>
      <c r="C14" s="37">
        <f>IF(B14="","",B14-'Visit 1'!B14)</f>
        <v>230</v>
      </c>
      <c r="D14" s="37">
        <f>IF(B14="","",B14-'Visit 2'!B14)</f>
        <v>13</v>
      </c>
      <c r="E14" s="37">
        <f>IF(B14="","",B14-'Visit 3'!B14)</f>
        <v>6</v>
      </c>
      <c r="F14" s="86">
        <f>1+3+3+4+5</f>
        <v>16</v>
      </c>
      <c r="G14" s="86">
        <f t="shared" si="0"/>
        <v>2.6666666666666665</v>
      </c>
      <c r="H14" s="87">
        <v>21</v>
      </c>
      <c r="I14" s="87">
        <v>21</v>
      </c>
      <c r="J14" s="37">
        <v>100</v>
      </c>
      <c r="K14" s="37">
        <v>-2</v>
      </c>
      <c r="L14" s="37">
        <v>21</v>
      </c>
      <c r="M14" s="37">
        <v>159</v>
      </c>
      <c r="N14" s="37">
        <v>-1</v>
      </c>
      <c r="O14" s="37">
        <v>21</v>
      </c>
      <c r="P14" s="37">
        <v>126</v>
      </c>
      <c r="Q14" s="37">
        <v>-2</v>
      </c>
      <c r="R14" s="37">
        <v>21</v>
      </c>
      <c r="S14" s="37">
        <v>100</v>
      </c>
      <c r="T14" s="37">
        <v>0</v>
      </c>
      <c r="U14" s="86">
        <f t="shared" si="12"/>
        <v>0.7389700043360189</v>
      </c>
      <c r="V14" s="86">
        <f t="shared" si="1"/>
        <v>0.9203671286564703</v>
      </c>
      <c r="W14" s="86">
        <f t="shared" si="10"/>
        <v>0.8393405494535817</v>
      </c>
      <c r="X14" s="86">
        <f t="shared" si="11"/>
        <v>0.6989700043360189</v>
      </c>
      <c r="Y14" s="88">
        <f t="shared" si="2"/>
        <v>109.64781961431855</v>
      </c>
      <c r="Z14" s="88">
        <f t="shared" si="3"/>
        <v>166.49343914009307</v>
      </c>
      <c r="AA14" s="88">
        <f t="shared" si="4"/>
        <v>138.15625271404133</v>
      </c>
      <c r="AB14" s="88">
        <f t="shared" si="5"/>
        <v>100.00000000000003</v>
      </c>
      <c r="AC14" s="71">
        <f t="shared" si="6"/>
        <v>32.89434588429556</v>
      </c>
      <c r="AD14" s="100">
        <f t="shared" si="7"/>
        <v>49.94803174202792</v>
      </c>
      <c r="AE14" s="100">
        <f t="shared" si="8"/>
        <v>41.4468758142124</v>
      </c>
      <c r="AF14" s="100">
        <f t="shared" si="9"/>
        <v>30.000000000000007</v>
      </c>
      <c r="AG14" s="68">
        <v>0</v>
      </c>
      <c r="AH14" s="94">
        <v>-1.5</v>
      </c>
    </row>
    <row r="15" spans="1:35" s="4" customFormat="1" ht="10.5">
      <c r="A15" s="47">
        <f>Demography!A14</f>
        <v>11</v>
      </c>
      <c r="B15" s="92">
        <v>37078</v>
      </c>
      <c r="C15" s="37">
        <f>IF(B15="","",B15-'Visit 1'!B15)</f>
        <v>139</v>
      </c>
      <c r="D15" s="37">
        <f>IF(B15="","",B15-'Visit 2'!B15)</f>
        <v>17</v>
      </c>
      <c r="E15" s="37">
        <f>IF(B15="","",B15-'Visit 3'!B15)</f>
        <v>7</v>
      </c>
      <c r="F15" s="86">
        <f>2+2.5+2+0.5</f>
        <v>7</v>
      </c>
      <c r="G15" s="86">
        <f t="shared" si="0"/>
        <v>1</v>
      </c>
      <c r="H15" s="87">
        <v>21</v>
      </c>
      <c r="I15" s="87">
        <v>21</v>
      </c>
      <c r="J15" s="37">
        <v>20</v>
      </c>
      <c r="K15" s="37">
        <v>-2</v>
      </c>
      <c r="L15" s="37">
        <v>21</v>
      </c>
      <c r="M15" s="37">
        <v>32</v>
      </c>
      <c r="N15" s="37">
        <v>-2</v>
      </c>
      <c r="O15" s="37">
        <v>21</v>
      </c>
      <c r="P15" s="37">
        <v>40</v>
      </c>
      <c r="Q15" s="37">
        <v>1</v>
      </c>
      <c r="R15" s="37">
        <v>21</v>
      </c>
      <c r="S15" s="37">
        <v>25</v>
      </c>
      <c r="T15" s="37">
        <v>2</v>
      </c>
      <c r="U15" s="86">
        <f t="shared" si="12"/>
        <v>0.04</v>
      </c>
      <c r="V15" s="86">
        <f t="shared" si="1"/>
        <v>0.2441199826559248</v>
      </c>
      <c r="W15" s="86">
        <f t="shared" si="10"/>
        <v>0.2810299956639812</v>
      </c>
      <c r="X15" s="86">
        <f t="shared" si="11"/>
        <v>0.05691001300805642</v>
      </c>
      <c r="Y15" s="88">
        <f t="shared" si="2"/>
        <v>21.9295639228637</v>
      </c>
      <c r="Z15" s="88">
        <f t="shared" si="3"/>
        <v>35.08730227658192</v>
      </c>
      <c r="AA15" s="88">
        <f t="shared" si="4"/>
        <v>38.19970344085744</v>
      </c>
      <c r="AB15" s="88">
        <f t="shared" si="5"/>
        <v>22.800270983897747</v>
      </c>
      <c r="AC15" s="71">
        <f t="shared" si="6"/>
        <v>6.57886917685911</v>
      </c>
      <c r="AD15" s="100">
        <f t="shared" si="7"/>
        <v>10.526190682974578</v>
      </c>
      <c r="AE15" s="100">
        <f t="shared" si="8"/>
        <v>11.459911032257233</v>
      </c>
      <c r="AF15" s="100">
        <f t="shared" si="9"/>
        <v>6.840081295169323</v>
      </c>
      <c r="AG15" s="68">
        <v>0</v>
      </c>
      <c r="AH15" s="94">
        <v>0</v>
      </c>
      <c r="AI15"/>
    </row>
    <row r="16" spans="1:34" ht="12.75" customHeight="1" thickBot="1">
      <c r="A16" s="190">
        <f>Demography!A15</f>
        <v>12</v>
      </c>
      <c r="B16" s="195">
        <v>37143</v>
      </c>
      <c r="C16" s="191">
        <f>IF(B16="","",B16-'Visit 1'!B16)</f>
        <v>73</v>
      </c>
      <c r="D16" s="191">
        <f>IF(B16="","",B16-'Visit 2'!B16)</f>
        <v>17</v>
      </c>
      <c r="E16" s="191">
        <f>IF(B16="","",B16-'Visit 3'!B16)</f>
        <v>9</v>
      </c>
      <c r="F16" s="50">
        <f>1+1+1.5+1+3</f>
        <v>7.5</v>
      </c>
      <c r="G16" s="194">
        <f t="shared" si="0"/>
        <v>0.8333333333333334</v>
      </c>
      <c r="H16" s="199">
        <v>21</v>
      </c>
      <c r="I16" s="199">
        <v>21</v>
      </c>
      <c r="J16" s="191">
        <v>32</v>
      </c>
      <c r="K16" s="191">
        <v>1</v>
      </c>
      <c r="L16" s="191">
        <v>21</v>
      </c>
      <c r="M16" s="191">
        <v>40</v>
      </c>
      <c r="N16" s="191">
        <v>2</v>
      </c>
      <c r="O16" s="191">
        <v>21</v>
      </c>
      <c r="P16" s="191">
        <v>40</v>
      </c>
      <c r="Q16" s="191">
        <v>1</v>
      </c>
      <c r="R16" s="191">
        <v>21</v>
      </c>
      <c r="S16" s="191">
        <v>32</v>
      </c>
      <c r="T16" s="191">
        <v>1</v>
      </c>
      <c r="U16" s="194">
        <f t="shared" si="12"/>
        <v>0.1841199826559248</v>
      </c>
      <c r="V16" s="194">
        <f t="shared" si="1"/>
        <v>0.2610299956639812</v>
      </c>
      <c r="W16" s="194">
        <f t="shared" si="10"/>
        <v>0.2810299956639812</v>
      </c>
      <c r="X16" s="194">
        <f>IF(S16="","",LOG10(((S16*$H16)/R16)/20)-T16*(0.1/5))</f>
        <v>0.1841199826559248</v>
      </c>
      <c r="Y16" s="193">
        <f t="shared" si="2"/>
        <v>30.559762752685952</v>
      </c>
      <c r="Z16" s="193">
        <f t="shared" si="3"/>
        <v>36.48043357423639</v>
      </c>
      <c r="AA16" s="193">
        <f t="shared" si="4"/>
        <v>38.19970344085744</v>
      </c>
      <c r="AB16" s="193">
        <f t="shared" si="5"/>
        <v>30.559762752685952</v>
      </c>
      <c r="AC16" s="196">
        <f t="shared" si="6"/>
        <v>9.167928825805786</v>
      </c>
      <c r="AD16" s="197">
        <f t="shared" si="7"/>
        <v>10.944130072270918</v>
      </c>
      <c r="AE16" s="197">
        <f t="shared" si="8"/>
        <v>11.459911032257233</v>
      </c>
      <c r="AF16" s="197">
        <f t="shared" si="9"/>
        <v>9.167928825805786</v>
      </c>
      <c r="AG16" s="192">
        <v>7</v>
      </c>
      <c r="AH16" s="116">
        <v>9.5</v>
      </c>
    </row>
    <row r="17" spans="3:34" ht="10.5">
      <c r="C17"/>
      <c r="H17" s="14"/>
      <c r="I17" s="14"/>
      <c r="J17" s="7"/>
      <c r="K17" s="7"/>
      <c r="L17" s="7"/>
      <c r="M17" s="7"/>
      <c r="N17" s="7"/>
      <c r="O17" s="7"/>
      <c r="P17" s="7"/>
      <c r="Q17" s="7"/>
      <c r="R17" s="7"/>
      <c r="S17" s="7"/>
      <c r="T17" s="7"/>
      <c r="U17" s="7"/>
      <c r="V17" s="9">
        <f>IF(K17="","",LOG10(((M17*$H17)/L17)/20)-N17*(0.1/5))</f>
      </c>
      <c r="W17" s="7"/>
      <c r="X17" s="7"/>
      <c r="Y17" s="7"/>
      <c r="Z17" s="7"/>
      <c r="AA17" s="7"/>
      <c r="AB17" s="7"/>
      <c r="AC17" s="7"/>
      <c r="AD17" s="7"/>
      <c r="AE17" s="7"/>
      <c r="AF17" s="7"/>
      <c r="AG17" s="7"/>
      <c r="AH17" s="7"/>
    </row>
    <row r="18" spans="8:36" ht="11.25" thickBot="1">
      <c r="H18" s="13"/>
      <c r="I18" s="13"/>
      <c r="Y18" s="2"/>
      <c r="Z18" s="2"/>
      <c r="AA18" s="2"/>
      <c r="AB18" s="2"/>
      <c r="AC18" s="2"/>
      <c r="AD18" s="2"/>
      <c r="AE18" s="2"/>
      <c r="AF18" s="2"/>
      <c r="AG18" s="2"/>
      <c r="AH18" s="2"/>
      <c r="AI18" s="2"/>
      <c r="AJ18" s="2"/>
    </row>
    <row r="19" spans="3:36" ht="10.5">
      <c r="C19" s="181" t="s">
        <v>199</v>
      </c>
      <c r="D19" s="296"/>
      <c r="E19" s="182"/>
      <c r="H19" s="13"/>
      <c r="I19" s="13"/>
      <c r="Y19" s="2"/>
      <c r="Z19" s="2"/>
      <c r="AA19" s="2"/>
      <c r="AB19" s="2"/>
      <c r="AC19" s="2"/>
      <c r="AD19" s="2"/>
      <c r="AE19" s="2"/>
      <c r="AF19" s="2"/>
      <c r="AG19" s="2"/>
      <c r="AH19" s="2"/>
      <c r="AI19" s="2"/>
      <c r="AJ19" s="2"/>
    </row>
    <row r="20" spans="3:36" ht="10.5">
      <c r="C20" s="113"/>
      <c r="D20" s="114" t="s">
        <v>198</v>
      </c>
      <c r="E20" s="115" t="s">
        <v>197</v>
      </c>
      <c r="H20" s="12"/>
      <c r="I20" s="12"/>
      <c r="Y20" s="2"/>
      <c r="Z20" s="2"/>
      <c r="AA20" s="2"/>
      <c r="AB20" s="2"/>
      <c r="AC20" s="2"/>
      <c r="AD20" s="2"/>
      <c r="AE20" s="2"/>
      <c r="AF20" s="2"/>
      <c r="AG20" s="2"/>
      <c r="AH20" s="2"/>
      <c r="AI20" s="2"/>
      <c r="AJ20" s="2"/>
    </row>
    <row r="21" spans="2:36" ht="10.5">
      <c r="B21" s="2"/>
      <c r="C21" s="62" t="s">
        <v>175</v>
      </c>
      <c r="D21" s="88">
        <f>AVERAGE(D5:D16)</f>
        <v>24.083333333333332</v>
      </c>
      <c r="E21" s="79">
        <f>D21/7</f>
        <v>3.4404761904761902</v>
      </c>
      <c r="F21" s="34"/>
      <c r="G21" s="34"/>
      <c r="H21" s="12"/>
      <c r="I21" s="12"/>
      <c r="Y21" s="2"/>
      <c r="Z21" s="2"/>
      <c r="AA21" s="2"/>
      <c r="AB21" s="2"/>
      <c r="AC21" s="2"/>
      <c r="AD21" s="2"/>
      <c r="AE21" s="2"/>
      <c r="AF21" s="2"/>
      <c r="AG21" s="2"/>
      <c r="AH21" s="2"/>
      <c r="AI21" s="2"/>
      <c r="AJ21" s="2"/>
    </row>
    <row r="22" spans="3:36" ht="10.5">
      <c r="C22" s="62" t="s">
        <v>174</v>
      </c>
      <c r="D22" s="93">
        <f>STDEV(D5:D16)</f>
        <v>18.91828520642173</v>
      </c>
      <c r="E22" s="79">
        <f>D22/7</f>
        <v>2.7026121723459613</v>
      </c>
      <c r="Y22" s="2"/>
      <c r="Z22" s="2"/>
      <c r="AA22" s="2"/>
      <c r="AB22" s="2"/>
      <c r="AC22" s="2"/>
      <c r="AD22" s="2"/>
      <c r="AE22" s="2"/>
      <c r="AF22" s="2"/>
      <c r="AG22" s="2"/>
      <c r="AH22" s="2"/>
      <c r="AI22" s="2"/>
      <c r="AJ22" s="2"/>
    </row>
    <row r="23" spans="3:10" ht="10.5">
      <c r="C23" s="62" t="s">
        <v>120</v>
      </c>
      <c r="D23" s="72">
        <f>MEDIAN(D5:D16)</f>
        <v>17</v>
      </c>
      <c r="E23" s="79">
        <f>D23/7</f>
        <v>2.4285714285714284</v>
      </c>
      <c r="J23" s="6"/>
    </row>
    <row r="24" spans="3:6" ht="10.5">
      <c r="C24" s="62" t="s">
        <v>118</v>
      </c>
      <c r="D24" s="25">
        <f>MIN(D5:D16)</f>
        <v>13</v>
      </c>
      <c r="E24" s="79">
        <f>D24/7</f>
        <v>1.8571428571428572</v>
      </c>
      <c r="F24" s="2"/>
    </row>
    <row r="25" spans="3:6" ht="11.25" thickBot="1">
      <c r="C25" s="63" t="s">
        <v>119</v>
      </c>
      <c r="D25" s="38">
        <f>MAX(D5:D16)</f>
        <v>80</v>
      </c>
      <c r="E25" s="117">
        <f>D25/7</f>
        <v>11.428571428571429</v>
      </c>
      <c r="F25" s="2"/>
    </row>
    <row r="26" spans="3:6" ht="10.5">
      <c r="C26" s="59"/>
      <c r="D26" s="3"/>
      <c r="E26" s="3"/>
      <c r="F26" s="2"/>
    </row>
    <row r="27" spans="3:6" ht="10.5">
      <c r="C27" s="59"/>
      <c r="D27" s="103"/>
      <c r="E27" s="3"/>
      <c r="F27" s="2"/>
    </row>
    <row r="28" spans="1:6" ht="10.5">
      <c r="A28" s="2"/>
      <c r="C28" s="59"/>
      <c r="D28" s="103"/>
      <c r="E28" s="3"/>
      <c r="F28" s="2"/>
    </row>
    <row r="29" spans="1:6" ht="10.5">
      <c r="A29" s="2"/>
      <c r="C29" s="59"/>
      <c r="D29" s="103"/>
      <c r="E29" s="3"/>
      <c r="F29" s="2"/>
    </row>
  </sheetData>
  <mergeCells count="50">
    <mergeCell ref="C19:E19"/>
    <mergeCell ref="AG1:AH1"/>
    <mergeCell ref="AG2:AG4"/>
    <mergeCell ref="AH2:AH4"/>
    <mergeCell ref="Y1:AB1"/>
    <mergeCell ref="Y2:Y4"/>
    <mergeCell ref="Z2:AA2"/>
    <mergeCell ref="AB2:AB4"/>
    <mergeCell ref="Z3:Z4"/>
    <mergeCell ref="AA3:AA4"/>
    <mergeCell ref="U2:U4"/>
    <mergeCell ref="X2:X4"/>
    <mergeCell ref="V3:V4"/>
    <mergeCell ref="W3:W4"/>
    <mergeCell ref="R2:T2"/>
    <mergeCell ref="R3:R4"/>
    <mergeCell ref="S3:S4"/>
    <mergeCell ref="T3:T4"/>
    <mergeCell ref="L2:Q2"/>
    <mergeCell ref="L3:L4"/>
    <mergeCell ref="M3:M4"/>
    <mergeCell ref="N3:N4"/>
    <mergeCell ref="O3:O4"/>
    <mergeCell ref="P3:P4"/>
    <mergeCell ref="Q3:Q4"/>
    <mergeCell ref="I2:K2"/>
    <mergeCell ref="I3:I4"/>
    <mergeCell ref="J3:J4"/>
    <mergeCell ref="K3:K4"/>
    <mergeCell ref="J1:T1"/>
    <mergeCell ref="U1:X1"/>
    <mergeCell ref="V2:W2"/>
    <mergeCell ref="C3:C4"/>
    <mergeCell ref="D3:D4"/>
    <mergeCell ref="E3:E4"/>
    <mergeCell ref="F2:G2"/>
    <mergeCell ref="F3:F4"/>
    <mergeCell ref="G3:G4"/>
    <mergeCell ref="H1:H4"/>
    <mergeCell ref="A3:A4"/>
    <mergeCell ref="B2:E2"/>
    <mergeCell ref="B3:B4"/>
    <mergeCell ref="A1:A2"/>
    <mergeCell ref="B1:G1"/>
    <mergeCell ref="AC1:AF1"/>
    <mergeCell ref="AC2:AC4"/>
    <mergeCell ref="AD2:AE2"/>
    <mergeCell ref="AF2:AF4"/>
    <mergeCell ref="AD3:AD4"/>
    <mergeCell ref="AE3:AE4"/>
  </mergeCells>
  <printOptions/>
  <pageMargins left="0.75" right="0.75" top="1" bottom="1" header="0.5" footer="0.5"/>
  <pageSetup horizontalDpi="1200" verticalDpi="1200" orientation="portrait" r:id="rId3"/>
  <legacyDrawing r:id="rId2"/>
</worksheet>
</file>

<file path=xl/worksheets/sheet9.xml><?xml version="1.0" encoding="utf-8"?>
<worksheet xmlns="http://schemas.openxmlformats.org/spreadsheetml/2006/main" xmlns:r="http://schemas.openxmlformats.org/officeDocument/2006/relationships">
  <dimension ref="A1:BA40"/>
  <sheetViews>
    <sheetView workbookViewId="0" topLeftCell="A1">
      <pane xSplit="1" ySplit="4" topLeftCell="B5" activePane="bottomRight" state="frozen"/>
      <selection pane="topLeft" activeCell="A1" sqref="A1"/>
      <selection pane="topRight" activeCell="B1" sqref="B1"/>
      <selection pane="bottomLeft" activeCell="A4" sqref="A4"/>
      <selection pane="bottomRight" activeCell="AQ19" sqref="AQ19"/>
    </sheetView>
  </sheetViews>
  <sheetFormatPr defaultColWidth="9.140625" defaultRowHeight="12"/>
  <cols>
    <col min="1" max="1" width="19.421875" style="6" customWidth="1"/>
    <col min="2" max="2" width="12.00390625" style="6" customWidth="1"/>
    <col min="3" max="3" width="9.8515625" style="6" customWidth="1"/>
    <col min="4" max="4" width="9.7109375" style="6" customWidth="1"/>
    <col min="5" max="5" width="9.8515625" style="6" customWidth="1"/>
    <col min="6" max="6" width="11.7109375" style="6" customWidth="1"/>
    <col min="7" max="8" width="12.00390625" style="6" customWidth="1"/>
    <col min="9" max="10" width="12.8515625" style="6" customWidth="1"/>
    <col min="11" max="11" width="11.421875" style="6" customWidth="1"/>
    <col min="12" max="12" width="10.28125" style="6" customWidth="1"/>
    <col min="13" max="13" width="8.00390625" style="6" customWidth="1"/>
    <col min="14" max="14" width="9.28125" style="6" customWidth="1"/>
    <col min="15" max="15" width="10.7109375" style="6" customWidth="1"/>
    <col min="16" max="16" width="8.140625" style="6" customWidth="1"/>
    <col min="17" max="17" width="9.140625" style="6" customWidth="1"/>
    <col min="18" max="18" width="12.00390625" style="6" customWidth="1"/>
    <col min="19" max="19" width="7.7109375" style="6" customWidth="1"/>
    <col min="20" max="20" width="11.421875" style="6" customWidth="1"/>
    <col min="21" max="21" width="12.00390625" style="6" customWidth="1"/>
    <col min="22" max="22" width="8.7109375" style="6" customWidth="1"/>
    <col min="23" max="23" width="8.421875" style="6" customWidth="1"/>
    <col min="24" max="24" width="12.00390625" style="6" customWidth="1"/>
    <col min="25" max="25" width="9.8515625" style="6" customWidth="1"/>
    <col min="26" max="26" width="15.00390625" style="6" customWidth="1"/>
    <col min="27" max="27" width="10.421875" style="6" customWidth="1"/>
    <col min="28" max="28" width="12.00390625" style="6" customWidth="1"/>
    <col min="29" max="29" width="9.28125" style="6" customWidth="1"/>
    <col min="30" max="30" width="8.7109375" style="6" customWidth="1"/>
    <col min="31" max="31" width="8.00390625" style="6" customWidth="1"/>
    <col min="32" max="32" width="10.28125" style="6" customWidth="1"/>
    <col min="33" max="35" width="8.00390625" style="6" customWidth="1"/>
    <col min="36" max="37" width="12.00390625" style="6" customWidth="1"/>
    <col min="38" max="38" width="9.421875" style="6" customWidth="1"/>
    <col min="39" max="39" width="12.00390625" style="6" customWidth="1"/>
    <col min="40" max="40" width="10.140625" style="6" customWidth="1"/>
    <col min="41" max="41" width="12.140625" style="6" customWidth="1"/>
    <col min="42" max="42" width="15.28125" style="6" customWidth="1"/>
    <col min="43" max="49" width="12.00390625" style="6" customWidth="1"/>
    <col min="50" max="50" width="12.8515625" style="6" customWidth="1"/>
    <col min="51" max="16384" width="12.00390625" style="6" customWidth="1"/>
  </cols>
  <sheetData>
    <row r="1" spans="1:49" ht="24.75" customHeight="1">
      <c r="A1" s="229" t="s">
        <v>111</v>
      </c>
      <c r="B1" s="509" t="s">
        <v>150</v>
      </c>
      <c r="C1" s="510"/>
      <c r="D1" s="510"/>
      <c r="E1" s="510"/>
      <c r="F1" s="510"/>
      <c r="G1" s="510"/>
      <c r="H1" s="510"/>
      <c r="I1" s="511"/>
      <c r="J1" s="327" t="s">
        <v>184</v>
      </c>
      <c r="K1" s="321" t="s">
        <v>99</v>
      </c>
      <c r="L1" s="324" t="s">
        <v>62</v>
      </c>
      <c r="M1" s="258"/>
      <c r="N1" s="258"/>
      <c r="O1" s="258"/>
      <c r="P1" s="258"/>
      <c r="Q1" s="258"/>
      <c r="R1" s="258"/>
      <c r="S1" s="258"/>
      <c r="T1" s="258"/>
      <c r="U1" s="258"/>
      <c r="V1" s="258"/>
      <c r="W1" s="258"/>
      <c r="X1" s="290" t="s">
        <v>8</v>
      </c>
      <c r="Y1" s="243"/>
      <c r="Z1" s="243"/>
      <c r="AA1" s="244"/>
      <c r="AB1" s="273" t="s">
        <v>169</v>
      </c>
      <c r="AC1" s="285"/>
      <c r="AD1" s="285"/>
      <c r="AE1" s="285"/>
      <c r="AF1" s="286" t="s">
        <v>201</v>
      </c>
      <c r="AG1" s="243"/>
      <c r="AH1" s="243"/>
      <c r="AI1" s="243"/>
      <c r="AJ1" s="293" t="s">
        <v>36</v>
      </c>
      <c r="AK1" s="294"/>
      <c r="AL1" s="313" t="s">
        <v>183</v>
      </c>
      <c r="AM1" s="313"/>
      <c r="AN1" s="313"/>
      <c r="AO1" s="313"/>
      <c r="AP1" s="313"/>
      <c r="AQ1" s="313"/>
      <c r="AR1" s="313"/>
      <c r="AS1" s="313"/>
      <c r="AT1" s="313"/>
      <c r="AU1" s="313"/>
      <c r="AV1" s="313"/>
      <c r="AW1" s="314"/>
    </row>
    <row r="2" spans="1:53" ht="47.25" customHeight="1">
      <c r="A2" s="230"/>
      <c r="B2" s="319" t="s">
        <v>86</v>
      </c>
      <c r="C2" s="319"/>
      <c r="D2" s="319"/>
      <c r="E2" s="319"/>
      <c r="F2" s="298" t="s">
        <v>52</v>
      </c>
      <c r="G2" s="234"/>
      <c r="H2" s="234"/>
      <c r="I2" s="312"/>
      <c r="J2" s="256"/>
      <c r="K2" s="322"/>
      <c r="L2" s="291" t="s">
        <v>101</v>
      </c>
      <c r="M2" s="291"/>
      <c r="N2" s="291"/>
      <c r="O2" s="253" t="s">
        <v>87</v>
      </c>
      <c r="P2" s="253"/>
      <c r="Q2" s="253"/>
      <c r="R2" s="253"/>
      <c r="S2" s="253"/>
      <c r="T2" s="253"/>
      <c r="U2" s="282" t="s">
        <v>104</v>
      </c>
      <c r="V2" s="282"/>
      <c r="W2" s="282"/>
      <c r="X2" s="172" t="s">
        <v>101</v>
      </c>
      <c r="Y2" s="246" t="s">
        <v>87</v>
      </c>
      <c r="Z2" s="246"/>
      <c r="AA2" s="231" t="s">
        <v>104</v>
      </c>
      <c r="AB2" s="289" t="s">
        <v>107</v>
      </c>
      <c r="AC2" s="295" t="s">
        <v>87</v>
      </c>
      <c r="AD2" s="295"/>
      <c r="AE2" s="289" t="s">
        <v>104</v>
      </c>
      <c r="AF2" s="287" t="s">
        <v>107</v>
      </c>
      <c r="AG2" s="288" t="s">
        <v>87</v>
      </c>
      <c r="AH2" s="288"/>
      <c r="AI2" s="287" t="s">
        <v>104</v>
      </c>
      <c r="AJ2" s="143" t="s">
        <v>38</v>
      </c>
      <c r="AK2" s="250" t="s">
        <v>39</v>
      </c>
      <c r="AL2" s="254" t="s">
        <v>4</v>
      </c>
      <c r="AM2" s="254"/>
      <c r="AN2" s="254"/>
      <c r="AO2" s="254"/>
      <c r="AP2" s="254"/>
      <c r="AQ2" s="271" t="s">
        <v>254</v>
      </c>
      <c r="AR2" s="271"/>
      <c r="AS2" s="271"/>
      <c r="AT2" s="271"/>
      <c r="AU2" s="271"/>
      <c r="AV2" s="271"/>
      <c r="AW2" s="320"/>
      <c r="AY2" s="74"/>
      <c r="AZ2" s="74"/>
      <c r="BA2" s="11"/>
    </row>
    <row r="3" spans="1:52" s="8" customFormat="1" ht="15.75" customHeight="1">
      <c r="A3" s="512" t="s">
        <v>234</v>
      </c>
      <c r="B3" s="271" t="s">
        <v>7</v>
      </c>
      <c r="C3" s="271" t="s">
        <v>71</v>
      </c>
      <c r="D3" s="271" t="s">
        <v>88</v>
      </c>
      <c r="E3" s="271" t="s">
        <v>58</v>
      </c>
      <c r="F3" s="315" t="s">
        <v>59</v>
      </c>
      <c r="G3" s="315" t="s">
        <v>24</v>
      </c>
      <c r="H3" s="315" t="s">
        <v>5</v>
      </c>
      <c r="I3" s="317" t="s">
        <v>6</v>
      </c>
      <c r="J3" s="256"/>
      <c r="K3" s="322"/>
      <c r="L3" s="172" t="s">
        <v>100</v>
      </c>
      <c r="M3" s="172" t="s">
        <v>105</v>
      </c>
      <c r="N3" s="172" t="s">
        <v>51</v>
      </c>
      <c r="O3" s="254" t="s">
        <v>172</v>
      </c>
      <c r="P3" s="254" t="s">
        <v>82</v>
      </c>
      <c r="Q3" s="254" t="s">
        <v>51</v>
      </c>
      <c r="R3" s="254" t="s">
        <v>172</v>
      </c>
      <c r="S3" s="254" t="s">
        <v>83</v>
      </c>
      <c r="T3" s="254" t="s">
        <v>51</v>
      </c>
      <c r="U3" s="256" t="s">
        <v>172</v>
      </c>
      <c r="V3" s="256" t="s">
        <v>105</v>
      </c>
      <c r="W3" s="256" t="s">
        <v>51</v>
      </c>
      <c r="X3" s="172"/>
      <c r="Y3" s="144" t="s">
        <v>82</v>
      </c>
      <c r="Z3" s="144" t="s">
        <v>83</v>
      </c>
      <c r="AA3" s="231"/>
      <c r="AB3" s="289"/>
      <c r="AC3" s="287" t="s">
        <v>82</v>
      </c>
      <c r="AD3" s="287" t="s">
        <v>83</v>
      </c>
      <c r="AE3" s="289"/>
      <c r="AF3" s="287"/>
      <c r="AG3" s="289" t="s">
        <v>82</v>
      </c>
      <c r="AH3" s="289" t="s">
        <v>83</v>
      </c>
      <c r="AI3" s="287"/>
      <c r="AJ3" s="143"/>
      <c r="AK3" s="250"/>
      <c r="AL3" s="310" t="s">
        <v>102</v>
      </c>
      <c r="AM3" s="310"/>
      <c r="AN3" s="311" t="s">
        <v>103</v>
      </c>
      <c r="AO3" s="311"/>
      <c r="AP3" s="143" t="s">
        <v>10</v>
      </c>
      <c r="AQ3" s="328" t="s">
        <v>43</v>
      </c>
      <c r="AR3" s="328"/>
      <c r="AS3" s="328"/>
      <c r="AT3" s="311" t="s">
        <v>44</v>
      </c>
      <c r="AU3" s="311"/>
      <c r="AV3" s="311"/>
      <c r="AW3" s="250" t="s">
        <v>10</v>
      </c>
      <c r="AZ3" s="74"/>
    </row>
    <row r="4" spans="1:49" s="69" customFormat="1" ht="24">
      <c r="A4" s="512"/>
      <c r="B4" s="271"/>
      <c r="C4" s="271"/>
      <c r="D4" s="271"/>
      <c r="E4" s="271"/>
      <c r="F4" s="316"/>
      <c r="G4" s="316"/>
      <c r="H4" s="316"/>
      <c r="I4" s="318"/>
      <c r="J4" s="256"/>
      <c r="K4" s="323"/>
      <c r="L4" s="172"/>
      <c r="M4" s="172"/>
      <c r="N4" s="172"/>
      <c r="O4" s="254"/>
      <c r="P4" s="254"/>
      <c r="Q4" s="254"/>
      <c r="R4" s="254"/>
      <c r="S4" s="254"/>
      <c r="T4" s="254"/>
      <c r="U4" s="256"/>
      <c r="V4" s="256"/>
      <c r="W4" s="256"/>
      <c r="X4" s="172"/>
      <c r="Y4" s="144"/>
      <c r="Z4" s="144"/>
      <c r="AA4" s="231"/>
      <c r="AB4" s="289"/>
      <c r="AC4" s="287"/>
      <c r="AD4" s="287"/>
      <c r="AE4" s="289"/>
      <c r="AF4" s="287"/>
      <c r="AG4" s="309"/>
      <c r="AH4" s="309"/>
      <c r="AI4" s="287"/>
      <c r="AJ4" s="143"/>
      <c r="AK4" s="250"/>
      <c r="AL4" s="97" t="s">
        <v>12</v>
      </c>
      <c r="AM4" s="97" t="s">
        <v>13</v>
      </c>
      <c r="AN4" s="82" t="s">
        <v>12</v>
      </c>
      <c r="AO4" s="82" t="s">
        <v>13</v>
      </c>
      <c r="AP4" s="143"/>
      <c r="AQ4" s="97" t="s">
        <v>12</v>
      </c>
      <c r="AR4" s="97" t="s">
        <v>13</v>
      </c>
      <c r="AS4" s="97" t="s">
        <v>96</v>
      </c>
      <c r="AT4" s="82" t="s">
        <v>12</v>
      </c>
      <c r="AU4" s="82" t="s">
        <v>13</v>
      </c>
      <c r="AV4" s="82" t="s">
        <v>96</v>
      </c>
      <c r="AW4" s="250"/>
    </row>
    <row r="5" spans="1:53" s="389" customFormat="1" ht="10.5">
      <c r="A5" s="523">
        <f>Demography!A4</f>
        <v>1</v>
      </c>
      <c r="B5" s="524">
        <v>36007</v>
      </c>
      <c r="C5" s="525">
        <f>IF(B5="","",B5-'Visit 1'!B5)</f>
        <v>90</v>
      </c>
      <c r="D5" s="525">
        <f>IF(B5="","",B5-'Visit 2'!B5)</f>
        <v>42</v>
      </c>
      <c r="E5" s="525">
        <f>IF(B5="","",B5-'Visit 4'!B5)</f>
        <v>15</v>
      </c>
      <c r="F5" s="526">
        <v>8</v>
      </c>
      <c r="G5" s="526">
        <f>IF(F5="","",F5/E5)</f>
        <v>0.5333333333333333</v>
      </c>
      <c r="H5" s="525">
        <f>IF('Visit 3'!E5="","",SUM('Visit 3'!E5,'Visit 4'!F5,F5))</f>
        <v>17</v>
      </c>
      <c r="I5" s="526">
        <f>IF(H5="","",H5/(B5-'Visit 2'!B5))</f>
        <v>0.40476190476190477</v>
      </c>
      <c r="J5" s="527" t="s">
        <v>94</v>
      </c>
      <c r="K5" s="528">
        <v>10</v>
      </c>
      <c r="L5" s="528">
        <v>15</v>
      </c>
      <c r="M5" s="529">
        <v>40</v>
      </c>
      <c r="N5" s="529">
        <v>0</v>
      </c>
      <c r="O5" s="529">
        <v>15</v>
      </c>
      <c r="P5" s="529">
        <v>60</v>
      </c>
      <c r="Q5" s="529">
        <v>0</v>
      </c>
      <c r="R5" s="529"/>
      <c r="S5" s="530"/>
      <c r="T5" s="530"/>
      <c r="U5" s="529">
        <v>15</v>
      </c>
      <c r="V5" s="529">
        <v>40</v>
      </c>
      <c r="W5" s="529">
        <v>0</v>
      </c>
      <c r="X5" s="526">
        <f>IF(M5="","",LOG10(M5/20)-N5*(0.1/5)+LOG10(2/3))</f>
        <v>0.12493873660829993</v>
      </c>
      <c r="Y5" s="526">
        <f>IF(P5="","",LOG10(P5/20)-Q5*(0.1/5)+LOG10(2/3))</f>
        <v>0.30102999566398114</v>
      </c>
      <c r="Z5" s="529"/>
      <c r="AA5" s="526">
        <f>IF(V5="","",LOG10(V5/20)-W5*(0.1/5)+LOG10(2/3))</f>
        <v>0.12493873660829993</v>
      </c>
      <c r="AB5" s="381">
        <f>IF(X5="","",20*10^(X5))</f>
        <v>26.666666666666664</v>
      </c>
      <c r="AC5" s="381">
        <f>IF(Y5="","",20*10^(Y5))</f>
        <v>40</v>
      </c>
      <c r="AD5" s="381"/>
      <c r="AE5" s="381">
        <f>IF(AA5="","",20*10^(AA5))</f>
        <v>26.666666666666664</v>
      </c>
      <c r="AF5" s="513">
        <f>6/(20/AB5)</f>
        <v>7.999999999999999</v>
      </c>
      <c r="AG5" s="392">
        <f>6/(20/AC5)</f>
        <v>12</v>
      </c>
      <c r="AH5" s="392"/>
      <c r="AI5" s="392">
        <f>6/(20/AE5)</f>
        <v>7.999999999999999</v>
      </c>
      <c r="AJ5" s="531">
        <v>-0.5</v>
      </c>
      <c r="AK5" s="531">
        <v>0</v>
      </c>
      <c r="AL5" s="531">
        <v>3</v>
      </c>
      <c r="AM5" s="531">
        <v>3.5</v>
      </c>
      <c r="AN5" s="531">
        <v>3.5</v>
      </c>
      <c r="AO5" s="531">
        <v>3.5</v>
      </c>
      <c r="AP5" s="532">
        <f>MAX(AL5,AN5)+MAX(AM5,AO5)</f>
        <v>7</v>
      </c>
      <c r="AQ5" s="531">
        <v>4</v>
      </c>
      <c r="AR5" s="531">
        <v>6.5</v>
      </c>
      <c r="AS5" s="531">
        <v>2</v>
      </c>
      <c r="AT5" s="531">
        <v>10</v>
      </c>
      <c r="AU5" s="531">
        <v>4.5</v>
      </c>
      <c r="AV5" s="531">
        <v>0</v>
      </c>
      <c r="AW5" s="533">
        <f aca="true" t="shared" si="0" ref="AW5:AW15">MAX(AQ5,AT5)+MAX(AR5,AU5)</f>
        <v>16.5</v>
      </c>
      <c r="AZ5" s="448"/>
      <c r="BA5" s="448"/>
    </row>
    <row r="6" spans="1:53" s="389" customFormat="1" ht="11.25">
      <c r="A6" s="473">
        <f>Demography!A5</f>
        <v>2</v>
      </c>
      <c r="B6" s="378">
        <v>36111</v>
      </c>
      <c r="C6" s="379">
        <f>IF(B6="","",B6-'Visit 1'!B6)</f>
        <v>118</v>
      </c>
      <c r="D6" s="379">
        <f>IF(B6="","",B6-'Visit 2'!B6)</f>
        <v>42</v>
      </c>
      <c r="E6" s="379">
        <f>IF(B6="","",B6-'Visit 4'!B6)</f>
        <v>28</v>
      </c>
      <c r="F6" s="392">
        <v>12</v>
      </c>
      <c r="G6" s="392">
        <f aca="true" t="shared" si="1" ref="G6:G15">IF(F6="","",F6/E6)</f>
        <v>0.42857142857142855</v>
      </c>
      <c r="H6" s="379">
        <f>IF('Visit 3'!E6="","",SUM('Visit 3'!E6,'Visit 4'!F6,F6))</f>
        <v>24</v>
      </c>
      <c r="I6" s="392">
        <f>IF(H6="","",H6/(B6-'Visit 2'!B6))</f>
        <v>0.5714285714285714</v>
      </c>
      <c r="J6" s="534" t="s">
        <v>94</v>
      </c>
      <c r="K6" s="388">
        <v>10</v>
      </c>
      <c r="L6" s="388">
        <v>15</v>
      </c>
      <c r="M6" s="353">
        <v>40</v>
      </c>
      <c r="N6" s="350">
        <v>-2</v>
      </c>
      <c r="O6" s="350">
        <v>15</v>
      </c>
      <c r="P6" s="350">
        <v>80</v>
      </c>
      <c r="Q6" s="350">
        <v>1</v>
      </c>
      <c r="R6" s="350">
        <v>15</v>
      </c>
      <c r="S6" s="350">
        <v>100</v>
      </c>
      <c r="T6" s="350">
        <v>1</v>
      </c>
      <c r="U6" s="350">
        <v>15</v>
      </c>
      <c r="V6" s="350">
        <v>50</v>
      </c>
      <c r="W6" s="350">
        <v>1</v>
      </c>
      <c r="X6" s="392">
        <f aca="true" t="shared" si="2" ref="X6:X15">IF(M6="","",LOG10(M6/20)-N6*(0.1/5)+LOG10(2/3))</f>
        <v>0.1649387366082999</v>
      </c>
      <c r="Y6" s="392">
        <f aca="true" t="shared" si="3" ref="Y6:Y15">IF(P6="","",LOG10(P6/20)-Q6*(0.1/5)+LOG10(2/3))</f>
        <v>0.40596873227228114</v>
      </c>
      <c r="Z6" s="392">
        <f aca="true" t="shared" si="4" ref="Z6:Z15">IF(S6="","",LOG10(S6/20)-T6*(0.1/5)+LOG10(2/3))</f>
        <v>0.5028787452803376</v>
      </c>
      <c r="AA6" s="392">
        <f aca="true" t="shared" si="5" ref="AA6:AA15">IF(V6="","",LOG10(V6/20)-W6*(0.1/5)+LOG10(2/3))</f>
        <v>0.20184874961635632</v>
      </c>
      <c r="AB6" s="381">
        <f aca="true" t="shared" si="6" ref="AB6:AB15">IF(X6="","",20*10^(X6))</f>
        <v>29.239418563818266</v>
      </c>
      <c r="AC6" s="381">
        <f aca="true" t="shared" si="7" ref="AC6:AC15">IF(Y6="","",20*10^(Y6))</f>
        <v>50.93293792114325</v>
      </c>
      <c r="AD6" s="381">
        <f aca="true" t="shared" si="8" ref="AD6:AD15">IF(Z6="","",20*10^(Z6))</f>
        <v>63.66617240142907</v>
      </c>
      <c r="AE6" s="381">
        <f aca="true" t="shared" si="9" ref="AE6:AE15">IF(AA6="","",20*10^(AA6))</f>
        <v>31.833086200714533</v>
      </c>
      <c r="AF6" s="513">
        <f aca="true" t="shared" si="10" ref="AF6:AF15">6/(20/AB6)</f>
        <v>8.771825569145479</v>
      </c>
      <c r="AG6" s="392">
        <f aca="true" t="shared" si="11" ref="AG6:AG15">6/(20/AC6)</f>
        <v>15.279881376342974</v>
      </c>
      <c r="AH6" s="392">
        <f aca="true" t="shared" si="12" ref="AH6:AH15">6/(20/AD6)</f>
        <v>19.09985172042872</v>
      </c>
      <c r="AI6" s="392">
        <f aca="true" t="shared" si="13" ref="AI6:AI15">6/(20/AE6)</f>
        <v>9.54992586021436</v>
      </c>
      <c r="AJ6" s="381">
        <v>3</v>
      </c>
      <c r="AK6" s="381">
        <v>0</v>
      </c>
      <c r="AL6" s="535"/>
      <c r="AM6" s="535"/>
      <c r="AN6" s="535"/>
      <c r="AO6" s="535"/>
      <c r="AP6" s="384"/>
      <c r="AQ6" s="381">
        <v>4</v>
      </c>
      <c r="AR6" s="381">
        <v>13</v>
      </c>
      <c r="AS6" s="381">
        <v>0</v>
      </c>
      <c r="AT6" s="381">
        <v>17</v>
      </c>
      <c r="AU6" s="381">
        <v>4</v>
      </c>
      <c r="AV6" s="381">
        <v>0</v>
      </c>
      <c r="AW6" s="515">
        <f t="shared" si="0"/>
        <v>30</v>
      </c>
      <c r="AZ6" s="448"/>
      <c r="BA6" s="448"/>
    </row>
    <row r="7" spans="1:53" s="389" customFormat="1" ht="10.5">
      <c r="A7" s="473">
        <f>Demography!A6</f>
        <v>3</v>
      </c>
      <c r="B7" s="378">
        <v>36147</v>
      </c>
      <c r="C7" s="379">
        <f>IF(B7="","",B7-'Visit 1'!B7)</f>
        <v>148</v>
      </c>
      <c r="D7" s="379">
        <f>IF(B7="","",B7-'Visit 2'!B7)</f>
        <v>63</v>
      </c>
      <c r="E7" s="379">
        <f>IF(B7="","",B7-'Visit 4'!B7)</f>
        <v>50</v>
      </c>
      <c r="F7" s="392"/>
      <c r="G7" s="392">
        <f t="shared" si="1"/>
      </c>
      <c r="H7" s="379">
        <f>IF('Visit 3'!E7="","",SUM('Visit 3'!E7,'Visit 4'!F7,F7))</f>
        <v>20</v>
      </c>
      <c r="I7" s="392">
        <f>IF(H7="","",H7/(B7-'Visit 2'!B7))</f>
        <v>0.31746031746031744</v>
      </c>
      <c r="J7" s="534" t="s">
        <v>94</v>
      </c>
      <c r="K7" s="388">
        <v>10</v>
      </c>
      <c r="L7" s="388">
        <v>15</v>
      </c>
      <c r="M7" s="350">
        <v>40</v>
      </c>
      <c r="N7" s="350">
        <v>1</v>
      </c>
      <c r="O7" s="350">
        <v>15</v>
      </c>
      <c r="P7" s="350">
        <v>80</v>
      </c>
      <c r="Q7" s="350">
        <v>-2</v>
      </c>
      <c r="R7" s="350">
        <v>15</v>
      </c>
      <c r="S7" s="350">
        <v>80</v>
      </c>
      <c r="T7" s="350">
        <v>2</v>
      </c>
      <c r="U7" s="350">
        <v>15</v>
      </c>
      <c r="V7" s="350">
        <v>40</v>
      </c>
      <c r="W7" s="350">
        <v>-1</v>
      </c>
      <c r="X7" s="392">
        <f t="shared" si="2"/>
        <v>0.10493873660829992</v>
      </c>
      <c r="Y7" s="392">
        <f t="shared" si="3"/>
        <v>0.4659687322722812</v>
      </c>
      <c r="Z7" s="392">
        <f t="shared" si="4"/>
        <v>0.3859687322722811</v>
      </c>
      <c r="AA7" s="392">
        <f t="shared" si="5"/>
        <v>0.14493873660829995</v>
      </c>
      <c r="AB7" s="381">
        <f t="shared" si="6"/>
        <v>25.46646896057162</v>
      </c>
      <c r="AC7" s="381">
        <f t="shared" si="7"/>
        <v>58.478837127636545</v>
      </c>
      <c r="AD7" s="381">
        <f t="shared" si="8"/>
        <v>48.640578098981855</v>
      </c>
      <c r="AE7" s="381">
        <f t="shared" si="9"/>
        <v>27.923427948023985</v>
      </c>
      <c r="AF7" s="513">
        <f t="shared" si="10"/>
        <v>7.639940688171486</v>
      </c>
      <c r="AG7" s="392">
        <f t="shared" si="11"/>
        <v>17.543651138290965</v>
      </c>
      <c r="AH7" s="392">
        <f t="shared" si="12"/>
        <v>14.592173429694556</v>
      </c>
      <c r="AI7" s="392">
        <f t="shared" si="13"/>
        <v>8.377028384407195</v>
      </c>
      <c r="AJ7" s="381">
        <v>3</v>
      </c>
      <c r="AK7" s="381">
        <v>0</v>
      </c>
      <c r="AL7" s="381">
        <v>3</v>
      </c>
      <c r="AM7" s="381">
        <v>1</v>
      </c>
      <c r="AN7" s="381">
        <v>2</v>
      </c>
      <c r="AO7" s="381">
        <v>8</v>
      </c>
      <c r="AP7" s="384">
        <f aca="true" t="shared" si="14" ref="AP7:AP15">MAX(AL7,AN7)+MAX(AM7,AO7)</f>
        <v>11</v>
      </c>
      <c r="AQ7" s="381">
        <v>2</v>
      </c>
      <c r="AR7" s="381">
        <v>9</v>
      </c>
      <c r="AS7" s="381">
        <v>1.5</v>
      </c>
      <c r="AT7" s="381">
        <v>20</v>
      </c>
      <c r="AU7" s="381">
        <v>8</v>
      </c>
      <c r="AV7" s="381">
        <v>0</v>
      </c>
      <c r="AW7" s="515">
        <f t="shared" si="0"/>
        <v>29</v>
      </c>
      <c r="AZ7" s="448"/>
      <c r="BA7" s="448"/>
    </row>
    <row r="8" spans="1:53" s="389" customFormat="1" ht="10.5">
      <c r="A8" s="473">
        <f>Demography!A7</f>
        <v>4</v>
      </c>
      <c r="B8" s="378">
        <v>36148</v>
      </c>
      <c r="C8" s="379">
        <f>IF(B8="","",B8-'Visit 1'!B8)</f>
        <v>147</v>
      </c>
      <c r="D8" s="379">
        <f>IF(B8="","",B8-'Visit 2'!B8)</f>
        <v>52</v>
      </c>
      <c r="E8" s="379">
        <f>IF(B8="","",B8-'Visit 4'!B8)</f>
        <v>31</v>
      </c>
      <c r="F8" s="392">
        <v>46.75</v>
      </c>
      <c r="G8" s="392">
        <f t="shared" si="1"/>
        <v>1.5080645161290323</v>
      </c>
      <c r="H8" s="379">
        <f>IF('Visit 3'!E8="","",SUM('Visit 3'!E8,'Visit 4'!F8,F8))</f>
        <v>61.25</v>
      </c>
      <c r="I8" s="392">
        <f>IF(H8="","",H8/(B8-'Visit 2'!B8))</f>
        <v>1.1778846153846154</v>
      </c>
      <c r="J8" s="534" t="s">
        <v>94</v>
      </c>
      <c r="K8" s="388">
        <v>10</v>
      </c>
      <c r="L8" s="388">
        <v>15</v>
      </c>
      <c r="M8" s="350">
        <v>30</v>
      </c>
      <c r="N8" s="350">
        <v>1</v>
      </c>
      <c r="O8" s="350">
        <v>15</v>
      </c>
      <c r="P8" s="350">
        <v>80</v>
      </c>
      <c r="Q8" s="350">
        <v>2</v>
      </c>
      <c r="R8" s="350">
        <v>15</v>
      </c>
      <c r="S8" s="350">
        <v>60</v>
      </c>
      <c r="T8" s="350">
        <v>2</v>
      </c>
      <c r="U8" s="350">
        <v>15</v>
      </c>
      <c r="V8" s="350">
        <v>30</v>
      </c>
      <c r="W8" s="350">
        <v>1</v>
      </c>
      <c r="X8" s="392">
        <f t="shared" si="2"/>
        <v>-0.020000000000000018</v>
      </c>
      <c r="Y8" s="392">
        <f t="shared" si="3"/>
        <v>0.3859687322722811</v>
      </c>
      <c r="Z8" s="392">
        <f t="shared" si="4"/>
        <v>0.2610299956639812</v>
      </c>
      <c r="AA8" s="392">
        <f t="shared" si="5"/>
        <v>-0.020000000000000018</v>
      </c>
      <c r="AB8" s="381">
        <f t="shared" si="6"/>
        <v>19.099851720428717</v>
      </c>
      <c r="AC8" s="381">
        <f t="shared" si="7"/>
        <v>48.640578098981855</v>
      </c>
      <c r="AD8" s="381">
        <f t="shared" si="8"/>
        <v>36.48043357423639</v>
      </c>
      <c r="AE8" s="381">
        <f t="shared" si="9"/>
        <v>19.099851720428717</v>
      </c>
      <c r="AF8" s="513">
        <f t="shared" si="10"/>
        <v>5.729955516128615</v>
      </c>
      <c r="AG8" s="392">
        <f t="shared" si="11"/>
        <v>14.592173429694556</v>
      </c>
      <c r="AH8" s="392">
        <f t="shared" si="12"/>
        <v>10.944130072270918</v>
      </c>
      <c r="AI8" s="392">
        <f t="shared" si="13"/>
        <v>5.729955516128615</v>
      </c>
      <c r="AJ8" s="381">
        <v>4</v>
      </c>
      <c r="AK8" s="381">
        <v>4</v>
      </c>
      <c r="AL8" s="381">
        <v>7.5</v>
      </c>
      <c r="AM8" s="381">
        <v>6</v>
      </c>
      <c r="AN8" s="381">
        <v>7</v>
      </c>
      <c r="AO8" s="381">
        <v>8</v>
      </c>
      <c r="AP8" s="384">
        <f t="shared" si="14"/>
        <v>15.5</v>
      </c>
      <c r="AQ8" s="381">
        <v>6</v>
      </c>
      <c r="AR8" s="381">
        <v>14</v>
      </c>
      <c r="AS8" s="381">
        <v>0.5</v>
      </c>
      <c r="AT8" s="381">
        <v>28</v>
      </c>
      <c r="AU8" s="381">
        <v>10</v>
      </c>
      <c r="AV8" s="381">
        <v>0</v>
      </c>
      <c r="AW8" s="515">
        <f t="shared" si="0"/>
        <v>42</v>
      </c>
      <c r="AZ8" s="448"/>
      <c r="BA8" s="448"/>
    </row>
    <row r="9" spans="1:53" s="389" customFormat="1" ht="10.5">
      <c r="A9" s="473">
        <f>Demography!A8</f>
        <v>5</v>
      </c>
      <c r="B9" s="378">
        <v>36230</v>
      </c>
      <c r="C9" s="379">
        <f>IF(B9="","",B9-'Visit 1'!B9)</f>
        <v>168</v>
      </c>
      <c r="D9" s="379">
        <f>IF(B9="","",B9-'Visit 2'!B9)</f>
        <v>61</v>
      </c>
      <c r="E9" s="379">
        <f>IF(B9="","",B9-'Visit 4'!B9)</f>
        <v>47</v>
      </c>
      <c r="F9" s="392"/>
      <c r="G9" s="392">
        <f t="shared" si="1"/>
      </c>
      <c r="H9" s="379">
        <f>IF('Visit 3'!E9="","",SUM('Visit 3'!E9,'Visit 4'!F9,F9))</f>
        <v>30.5</v>
      </c>
      <c r="I9" s="392">
        <f>IF(H9="","",H9/(B9-'Visit 2'!B9))</f>
        <v>0.5</v>
      </c>
      <c r="J9" s="534" t="s">
        <v>94</v>
      </c>
      <c r="K9" s="388">
        <v>10</v>
      </c>
      <c r="L9" s="388">
        <v>15</v>
      </c>
      <c r="M9" s="350">
        <v>50</v>
      </c>
      <c r="N9" s="350">
        <v>-1</v>
      </c>
      <c r="O9" s="350">
        <v>15</v>
      </c>
      <c r="P9" s="350">
        <v>50</v>
      </c>
      <c r="Q9" s="350">
        <v>0</v>
      </c>
      <c r="R9" s="350">
        <v>15</v>
      </c>
      <c r="S9" s="350">
        <v>50</v>
      </c>
      <c r="T9" s="350">
        <v>-2</v>
      </c>
      <c r="U9" s="350">
        <v>15</v>
      </c>
      <c r="V9" s="350">
        <v>50</v>
      </c>
      <c r="W9" s="350">
        <v>-2</v>
      </c>
      <c r="X9" s="392">
        <f t="shared" si="2"/>
        <v>0.24184874961635636</v>
      </c>
      <c r="Y9" s="392">
        <f t="shared" si="3"/>
        <v>0.22184874961635634</v>
      </c>
      <c r="Z9" s="392">
        <f t="shared" si="4"/>
        <v>0.2618487496163563</v>
      </c>
      <c r="AA9" s="392">
        <f t="shared" si="5"/>
        <v>0.2618487496163563</v>
      </c>
      <c r="AB9" s="381">
        <f t="shared" si="6"/>
        <v>34.904284935029985</v>
      </c>
      <c r="AC9" s="381">
        <f t="shared" si="7"/>
        <v>33.33333333333333</v>
      </c>
      <c r="AD9" s="381">
        <f t="shared" si="8"/>
        <v>36.54927320477283</v>
      </c>
      <c r="AE9" s="381">
        <f t="shared" si="9"/>
        <v>36.54927320477283</v>
      </c>
      <c r="AF9" s="513">
        <f t="shared" si="10"/>
        <v>10.471285480508996</v>
      </c>
      <c r="AG9" s="392">
        <f t="shared" si="11"/>
        <v>9.999999999999998</v>
      </c>
      <c r="AH9" s="392">
        <f t="shared" si="12"/>
        <v>10.96478196143185</v>
      </c>
      <c r="AI9" s="392">
        <f t="shared" si="13"/>
        <v>10.96478196143185</v>
      </c>
      <c r="AJ9" s="381">
        <v>1.5</v>
      </c>
      <c r="AK9" s="381">
        <v>2</v>
      </c>
      <c r="AL9" s="381">
        <v>4</v>
      </c>
      <c r="AM9" s="381">
        <v>3</v>
      </c>
      <c r="AN9" s="381">
        <v>4</v>
      </c>
      <c r="AO9" s="381">
        <v>3</v>
      </c>
      <c r="AP9" s="384">
        <f t="shared" si="14"/>
        <v>7</v>
      </c>
      <c r="AQ9" s="381">
        <v>4</v>
      </c>
      <c r="AR9" s="381">
        <v>12</v>
      </c>
      <c r="AS9" s="381">
        <v>0</v>
      </c>
      <c r="AT9" s="381">
        <v>3.5</v>
      </c>
      <c r="AU9" s="381">
        <v>13</v>
      </c>
      <c r="AV9" s="381">
        <v>0</v>
      </c>
      <c r="AW9" s="515">
        <f t="shared" si="0"/>
        <v>17</v>
      </c>
      <c r="AZ9" s="448"/>
      <c r="BA9" s="448"/>
    </row>
    <row r="10" spans="1:53" s="547" customFormat="1" ht="10.5">
      <c r="A10" s="537">
        <f>Demography!A9</f>
        <v>6</v>
      </c>
      <c r="B10" s="538">
        <v>36839</v>
      </c>
      <c r="C10" s="407">
        <f>IF(B10="","",B10-'Visit 1'!B10)-60</f>
        <v>523</v>
      </c>
      <c r="D10" s="407">
        <f>IF(B10="","",B10-'Visit 2'!B10)-60</f>
        <v>423</v>
      </c>
      <c r="E10" s="407">
        <f>IF(B10="","",B10-'Visit 4'!B10)-60</f>
        <v>388</v>
      </c>
      <c r="F10" s="539"/>
      <c r="G10" s="539">
        <f t="shared" si="1"/>
      </c>
      <c r="H10" s="407">
        <f>IF('Visit 3'!E10="","",SUM('Visit 3'!E10,'Visit 4'!F10,F10))</f>
      </c>
      <c r="I10" s="539">
        <v>5</v>
      </c>
      <c r="J10" s="540" t="s">
        <v>94</v>
      </c>
      <c r="K10" s="541">
        <v>10</v>
      </c>
      <c r="L10" s="541">
        <v>15</v>
      </c>
      <c r="M10" s="542">
        <v>80</v>
      </c>
      <c r="N10" s="539">
        <v>0</v>
      </c>
      <c r="O10" s="542">
        <v>15</v>
      </c>
      <c r="P10" s="407">
        <v>100</v>
      </c>
      <c r="Q10" s="407">
        <v>-2</v>
      </c>
      <c r="R10" s="542">
        <v>15</v>
      </c>
      <c r="S10" s="407">
        <v>100</v>
      </c>
      <c r="T10" s="407">
        <v>-1</v>
      </c>
      <c r="U10" s="542">
        <v>15</v>
      </c>
      <c r="V10" s="407">
        <v>80</v>
      </c>
      <c r="W10" s="407">
        <v>-1</v>
      </c>
      <c r="X10" s="539">
        <f t="shared" si="2"/>
        <v>0.42596873227228116</v>
      </c>
      <c r="Y10" s="539">
        <f t="shared" si="3"/>
        <v>0.5628787452803377</v>
      </c>
      <c r="Z10" s="539">
        <f t="shared" si="4"/>
        <v>0.5428787452803376</v>
      </c>
      <c r="AA10" s="539">
        <f t="shared" si="5"/>
        <v>0.4459687322722812</v>
      </c>
      <c r="AB10" s="405">
        <f t="shared" si="6"/>
        <v>53.33333333333334</v>
      </c>
      <c r="AC10" s="405">
        <f t="shared" si="7"/>
        <v>73.0985464095457</v>
      </c>
      <c r="AD10" s="405">
        <f t="shared" si="8"/>
        <v>69.80856987006</v>
      </c>
      <c r="AE10" s="405">
        <f t="shared" si="9"/>
        <v>55.846855896047984</v>
      </c>
      <c r="AF10" s="543">
        <f t="shared" si="10"/>
        <v>16.000000000000004</v>
      </c>
      <c r="AG10" s="539">
        <f t="shared" si="11"/>
        <v>21.92956392286371</v>
      </c>
      <c r="AH10" s="539">
        <f t="shared" si="12"/>
        <v>20.942570961018</v>
      </c>
      <c r="AI10" s="539">
        <f t="shared" si="13"/>
        <v>16.754056768814394</v>
      </c>
      <c r="AJ10" s="405">
        <v>-2</v>
      </c>
      <c r="AK10" s="405">
        <v>2.5</v>
      </c>
      <c r="AL10" s="405">
        <v>3</v>
      </c>
      <c r="AM10" s="405">
        <v>4</v>
      </c>
      <c r="AN10" s="405">
        <v>4.5</v>
      </c>
      <c r="AO10" s="405">
        <v>2.5</v>
      </c>
      <c r="AP10" s="409">
        <f t="shared" si="14"/>
        <v>8.5</v>
      </c>
      <c r="AQ10" s="544" t="s">
        <v>81</v>
      </c>
      <c r="AR10" s="545"/>
      <c r="AS10" s="545"/>
      <c r="AT10" s="545"/>
      <c r="AU10" s="545"/>
      <c r="AV10" s="545"/>
      <c r="AW10" s="546"/>
      <c r="AZ10" s="548"/>
      <c r="BA10" s="548"/>
    </row>
    <row r="11" spans="1:53" s="389" customFormat="1" ht="10.5">
      <c r="A11" s="377">
        <f>Demography!A10</f>
        <v>7</v>
      </c>
      <c r="B11" s="378">
        <v>36504</v>
      </c>
      <c r="C11" s="379">
        <f>IF(B11="","",B11-'Visit 1'!B11)</f>
        <v>244</v>
      </c>
      <c r="D11" s="379">
        <f>IF(B11="","",B11-'Visit 2'!B11)</f>
        <v>143</v>
      </c>
      <c r="E11" s="379">
        <f>IF(B11="","",B11-'Visit 4'!B11)</f>
        <v>63</v>
      </c>
      <c r="F11" s="392">
        <v>25</v>
      </c>
      <c r="G11" s="392">
        <f t="shared" si="1"/>
        <v>0.3968253968253968</v>
      </c>
      <c r="H11" s="379">
        <f>IF('Visit 3'!E11="","",SUM('Visit 3'!E11,'Visit 4'!F11,F11))</f>
        <v>81.5</v>
      </c>
      <c r="I11" s="392">
        <f>IF(H11="","",H11/(B11-'Visit 2'!B11))</f>
        <v>0.5699300699300699</v>
      </c>
      <c r="J11" s="534" t="s">
        <v>78</v>
      </c>
      <c r="K11" s="388">
        <v>10</v>
      </c>
      <c r="L11" s="388">
        <v>15</v>
      </c>
      <c r="M11" s="350">
        <v>80</v>
      </c>
      <c r="N11" s="350">
        <v>0</v>
      </c>
      <c r="O11" s="350">
        <v>15</v>
      </c>
      <c r="P11" s="350">
        <v>100</v>
      </c>
      <c r="Q11" s="350">
        <v>0</v>
      </c>
      <c r="R11" s="350">
        <v>15</v>
      </c>
      <c r="S11" s="350">
        <v>100</v>
      </c>
      <c r="T11" s="350">
        <v>0</v>
      </c>
      <c r="U11" s="350">
        <v>15</v>
      </c>
      <c r="V11" s="350">
        <v>100</v>
      </c>
      <c r="W11" s="350">
        <v>1</v>
      </c>
      <c r="X11" s="392">
        <f t="shared" si="2"/>
        <v>0.42596873227228116</v>
      </c>
      <c r="Y11" s="392">
        <f t="shared" si="3"/>
        <v>0.5228787452803376</v>
      </c>
      <c r="Z11" s="392">
        <f t="shared" si="4"/>
        <v>0.5228787452803376</v>
      </c>
      <c r="AA11" s="392">
        <f t="shared" si="5"/>
        <v>0.5028787452803376</v>
      </c>
      <c r="AB11" s="381">
        <f t="shared" si="6"/>
        <v>53.33333333333334</v>
      </c>
      <c r="AC11" s="381">
        <f t="shared" si="7"/>
        <v>66.66666666666669</v>
      </c>
      <c r="AD11" s="381">
        <f t="shared" si="8"/>
        <v>66.66666666666669</v>
      </c>
      <c r="AE11" s="381">
        <f t="shared" si="9"/>
        <v>63.66617240142907</v>
      </c>
      <c r="AF11" s="513">
        <f t="shared" si="10"/>
        <v>16.000000000000004</v>
      </c>
      <c r="AG11" s="392">
        <f t="shared" si="11"/>
        <v>20.000000000000004</v>
      </c>
      <c r="AH11" s="392">
        <f t="shared" si="12"/>
        <v>20.000000000000004</v>
      </c>
      <c r="AI11" s="392">
        <f t="shared" si="13"/>
        <v>19.09985172042872</v>
      </c>
      <c r="AJ11" s="381">
        <v>-1</v>
      </c>
      <c r="AK11" s="381">
        <v>0</v>
      </c>
      <c r="AL11" s="381">
        <v>7</v>
      </c>
      <c r="AM11" s="381">
        <v>4</v>
      </c>
      <c r="AN11" s="381">
        <v>7</v>
      </c>
      <c r="AO11" s="381">
        <v>7</v>
      </c>
      <c r="AP11" s="384">
        <f t="shared" si="14"/>
        <v>14</v>
      </c>
      <c r="AQ11" s="381">
        <v>6</v>
      </c>
      <c r="AR11" s="381">
        <v>22</v>
      </c>
      <c r="AS11" s="381">
        <v>0</v>
      </c>
      <c r="AT11" s="381">
        <v>15</v>
      </c>
      <c r="AU11" s="381">
        <v>6</v>
      </c>
      <c r="AV11" s="381">
        <v>0</v>
      </c>
      <c r="AW11" s="515">
        <f t="shared" si="0"/>
        <v>37</v>
      </c>
      <c r="AZ11" s="448"/>
      <c r="BA11" s="448"/>
    </row>
    <row r="12" spans="1:53" s="389" customFormat="1" ht="10.5">
      <c r="A12" s="473">
        <f>Demography!A11</f>
        <v>8</v>
      </c>
      <c r="B12" s="378">
        <v>36573</v>
      </c>
      <c r="C12" s="379">
        <f>IF(B12="","",B12-'Visit 1'!B12)</f>
        <v>224</v>
      </c>
      <c r="D12" s="379">
        <f>IF(B12="","",B12-'Visit 2'!B12)</f>
        <v>142</v>
      </c>
      <c r="E12" s="379">
        <f>IF(B12="","",B12-'Visit 4'!B12)</f>
        <v>117</v>
      </c>
      <c r="F12" s="392"/>
      <c r="G12" s="392">
        <f t="shared" si="1"/>
      </c>
      <c r="H12" s="379">
        <f>IF('Visit 3'!E12="","",SUM('Visit 3'!E12,'Visit 4'!F12,F12))</f>
        <v>14</v>
      </c>
      <c r="I12" s="392">
        <f>IF(H12="","",H12/(B12-'Visit 2'!B12))</f>
        <v>0.09859154929577464</v>
      </c>
      <c r="J12" s="534" t="s">
        <v>94</v>
      </c>
      <c r="K12" s="388">
        <v>10</v>
      </c>
      <c r="L12" s="388">
        <v>15</v>
      </c>
      <c r="M12" s="350">
        <v>80</v>
      </c>
      <c r="N12" s="350">
        <v>-1</v>
      </c>
      <c r="O12" s="350">
        <v>15</v>
      </c>
      <c r="P12" s="350">
        <v>80</v>
      </c>
      <c r="Q12" s="350">
        <v>2</v>
      </c>
      <c r="R12" s="350">
        <v>15</v>
      </c>
      <c r="S12" s="350">
        <v>80</v>
      </c>
      <c r="T12" s="350">
        <v>-1</v>
      </c>
      <c r="U12" s="350">
        <v>15</v>
      </c>
      <c r="V12" s="350">
        <v>80</v>
      </c>
      <c r="W12" s="350">
        <v>1</v>
      </c>
      <c r="X12" s="392">
        <f t="shared" si="2"/>
        <v>0.4459687322722812</v>
      </c>
      <c r="Y12" s="392">
        <f t="shared" si="3"/>
        <v>0.3859687322722811</v>
      </c>
      <c r="Z12" s="392">
        <f t="shared" si="4"/>
        <v>0.4459687322722812</v>
      </c>
      <c r="AA12" s="392">
        <f t="shared" si="5"/>
        <v>0.40596873227228114</v>
      </c>
      <c r="AB12" s="381">
        <f t="shared" si="6"/>
        <v>55.846855896047984</v>
      </c>
      <c r="AC12" s="381">
        <f t="shared" si="7"/>
        <v>48.640578098981855</v>
      </c>
      <c r="AD12" s="381">
        <f t="shared" si="8"/>
        <v>55.846855896047984</v>
      </c>
      <c r="AE12" s="381">
        <f t="shared" si="9"/>
        <v>50.93293792114325</v>
      </c>
      <c r="AF12" s="513">
        <f t="shared" si="10"/>
        <v>16.754056768814394</v>
      </c>
      <c r="AG12" s="392">
        <f t="shared" si="11"/>
        <v>14.592173429694556</v>
      </c>
      <c r="AH12" s="392">
        <f t="shared" si="12"/>
        <v>16.754056768814394</v>
      </c>
      <c r="AI12" s="392">
        <f t="shared" si="13"/>
        <v>15.279881376342974</v>
      </c>
      <c r="AJ12" s="381">
        <v>0</v>
      </c>
      <c r="AK12" s="381">
        <v>0</v>
      </c>
      <c r="AL12" s="381">
        <v>3</v>
      </c>
      <c r="AM12" s="381">
        <v>3</v>
      </c>
      <c r="AN12" s="381">
        <v>3</v>
      </c>
      <c r="AO12" s="381">
        <v>3</v>
      </c>
      <c r="AP12" s="384">
        <f t="shared" si="14"/>
        <v>6</v>
      </c>
      <c r="AQ12" s="381">
        <v>3</v>
      </c>
      <c r="AR12" s="381">
        <v>9</v>
      </c>
      <c r="AS12" s="381">
        <v>0</v>
      </c>
      <c r="AT12" s="381">
        <v>9</v>
      </c>
      <c r="AU12" s="381">
        <v>3</v>
      </c>
      <c r="AV12" s="381">
        <v>0</v>
      </c>
      <c r="AW12" s="515">
        <f t="shared" si="0"/>
        <v>18</v>
      </c>
      <c r="AZ12" s="448"/>
      <c r="BA12" s="448"/>
    </row>
    <row r="13" spans="1:53" s="389" customFormat="1" ht="10.5">
      <c r="A13" s="473">
        <f>Demography!A12</f>
        <v>9</v>
      </c>
      <c r="B13" s="378">
        <v>36469</v>
      </c>
      <c r="C13" s="379">
        <f>IF(B13="","",B13-'Visit 1'!B13)</f>
        <v>106</v>
      </c>
      <c r="D13" s="379">
        <f>IF(B13="","",B13-'Visit 2'!B13)</f>
        <v>42</v>
      </c>
      <c r="E13" s="379">
        <f>IF(B13="","",B13-'Visit 4'!B13)</f>
        <v>29</v>
      </c>
      <c r="F13" s="392">
        <v>15.5</v>
      </c>
      <c r="G13" s="392">
        <f t="shared" si="1"/>
        <v>0.5344827586206896</v>
      </c>
      <c r="H13" s="379">
        <f>IF('Visit 3'!E13="","",SUM('Visit 3'!E13,'Visit 4'!F13,F13))</f>
        <v>23.75</v>
      </c>
      <c r="I13" s="392">
        <f>IF(H13="","",H13/(B13-'Visit 2'!B13))</f>
        <v>0.5654761904761905</v>
      </c>
      <c r="J13" s="534" t="s">
        <v>94</v>
      </c>
      <c r="K13" s="388">
        <v>10</v>
      </c>
      <c r="L13" s="388">
        <v>15</v>
      </c>
      <c r="M13" s="350">
        <v>100</v>
      </c>
      <c r="N13" s="350">
        <v>-1</v>
      </c>
      <c r="O13" s="350">
        <v>15</v>
      </c>
      <c r="P13" s="350">
        <v>70</v>
      </c>
      <c r="Q13" s="350">
        <v>-1</v>
      </c>
      <c r="R13" s="350">
        <v>15</v>
      </c>
      <c r="S13" s="350">
        <v>70</v>
      </c>
      <c r="T13" s="350">
        <v>-2</v>
      </c>
      <c r="U13" s="350">
        <v>15</v>
      </c>
      <c r="V13" s="350">
        <v>80</v>
      </c>
      <c r="W13" s="350">
        <v>0</v>
      </c>
      <c r="X13" s="392">
        <f t="shared" si="2"/>
        <v>0.5428787452803376</v>
      </c>
      <c r="Y13" s="392">
        <f t="shared" si="3"/>
        <v>0.38797678529459445</v>
      </c>
      <c r="Z13" s="392">
        <f t="shared" si="4"/>
        <v>0.40797678529459447</v>
      </c>
      <c r="AA13" s="392">
        <f t="shared" si="5"/>
        <v>0.42596873227228116</v>
      </c>
      <c r="AB13" s="381">
        <f t="shared" si="6"/>
        <v>69.80856987006</v>
      </c>
      <c r="AC13" s="381">
        <f t="shared" si="7"/>
        <v>48.86599890904199</v>
      </c>
      <c r="AD13" s="381">
        <f t="shared" si="8"/>
        <v>51.16898248668198</v>
      </c>
      <c r="AE13" s="381">
        <f t="shared" si="9"/>
        <v>53.33333333333334</v>
      </c>
      <c r="AF13" s="513">
        <f t="shared" si="10"/>
        <v>20.942570961018</v>
      </c>
      <c r="AG13" s="392">
        <f t="shared" si="11"/>
        <v>14.659799672712596</v>
      </c>
      <c r="AH13" s="392">
        <f t="shared" si="12"/>
        <v>15.350694746004596</v>
      </c>
      <c r="AI13" s="392">
        <f t="shared" si="13"/>
        <v>16.000000000000004</v>
      </c>
      <c r="AJ13" s="381">
        <v>-6</v>
      </c>
      <c r="AK13" s="381">
        <v>-4</v>
      </c>
      <c r="AL13" s="381">
        <v>4</v>
      </c>
      <c r="AM13" s="381">
        <v>3.5</v>
      </c>
      <c r="AN13" s="381">
        <v>4.5</v>
      </c>
      <c r="AO13" s="381">
        <v>5</v>
      </c>
      <c r="AP13" s="384">
        <f t="shared" si="14"/>
        <v>9.5</v>
      </c>
      <c r="AQ13" s="381">
        <v>4.5</v>
      </c>
      <c r="AR13" s="381">
        <v>8</v>
      </c>
      <c r="AS13" s="381">
        <v>5</v>
      </c>
      <c r="AT13" s="381">
        <v>17</v>
      </c>
      <c r="AU13" s="381">
        <v>3.5</v>
      </c>
      <c r="AV13" s="381">
        <v>0</v>
      </c>
      <c r="AW13" s="515">
        <f t="shared" si="0"/>
        <v>25</v>
      </c>
      <c r="AZ13" s="448"/>
      <c r="BA13" s="448"/>
    </row>
    <row r="14" spans="1:53" s="389" customFormat="1" ht="10.5">
      <c r="A14" s="377">
        <f>Demography!A13</f>
        <v>10</v>
      </c>
      <c r="B14" s="378">
        <v>37140</v>
      </c>
      <c r="C14" s="379">
        <f>IF(B14="","",B14-'Visit 1'!B14)</f>
        <v>266</v>
      </c>
      <c r="D14" s="379">
        <f>IF(B14="","",B14-'Visit 2'!B14)</f>
        <v>49</v>
      </c>
      <c r="E14" s="379">
        <f>IF(B14="","",B14-'Visit 4'!B14)</f>
        <v>36</v>
      </c>
      <c r="F14" s="392"/>
      <c r="G14" s="392">
        <f t="shared" si="1"/>
      </c>
      <c r="H14" s="379">
        <f>IF('Visit 3'!E14="","",SUM('Visit 3'!E14,'Visit 4'!F14,F14))</f>
        <v>32</v>
      </c>
      <c r="I14" s="392">
        <f>IF(H14="","",H14/(B14-'Visit 2'!B14))</f>
        <v>0.6530612244897959</v>
      </c>
      <c r="J14" s="534" t="s">
        <v>78</v>
      </c>
      <c r="K14" s="388"/>
      <c r="L14" s="388"/>
      <c r="M14" s="350"/>
      <c r="N14" s="350"/>
      <c r="O14" s="350"/>
      <c r="P14" s="350"/>
      <c r="Q14" s="350"/>
      <c r="R14" s="350"/>
      <c r="S14" s="350"/>
      <c r="T14" s="350"/>
      <c r="U14" s="350"/>
      <c r="V14" s="350"/>
      <c r="W14" s="350"/>
      <c r="X14" s="392">
        <f t="shared" si="2"/>
      </c>
      <c r="Y14" s="392">
        <f t="shared" si="3"/>
      </c>
      <c r="Z14" s="392">
        <f t="shared" si="4"/>
      </c>
      <c r="AA14" s="392">
        <f t="shared" si="5"/>
      </c>
      <c r="AB14" s="381">
        <f t="shared" si="6"/>
      </c>
      <c r="AC14" s="381">
        <f t="shared" si="7"/>
      </c>
      <c r="AD14" s="381">
        <f t="shared" si="8"/>
      </c>
      <c r="AE14" s="381">
        <f t="shared" si="9"/>
      </c>
      <c r="AF14" s="513"/>
      <c r="AG14" s="392"/>
      <c r="AH14" s="392"/>
      <c r="AI14" s="392"/>
      <c r="AJ14" s="381"/>
      <c r="AK14" s="381"/>
      <c r="AL14" s="381"/>
      <c r="AM14" s="381"/>
      <c r="AN14" s="381"/>
      <c r="AO14" s="381"/>
      <c r="AP14" s="384">
        <f t="shared" si="14"/>
        <v>0</v>
      </c>
      <c r="AQ14" s="381"/>
      <c r="AR14" s="381"/>
      <c r="AS14" s="381"/>
      <c r="AT14" s="381"/>
      <c r="AU14" s="381"/>
      <c r="AV14" s="381"/>
      <c r="AW14" s="515">
        <f t="shared" si="0"/>
        <v>0</v>
      </c>
      <c r="AZ14" s="448"/>
      <c r="BA14" s="448"/>
    </row>
    <row r="15" spans="1:53" s="389" customFormat="1" ht="10.5">
      <c r="A15" s="473">
        <f>Demography!A14</f>
        <v>11</v>
      </c>
      <c r="B15" s="378">
        <v>37113</v>
      </c>
      <c r="C15" s="379">
        <f>IF(B15="","",B15-'Visit 1'!B15)</f>
        <v>174</v>
      </c>
      <c r="D15" s="379">
        <f>IF(B15="","",B15-'Visit 2'!B15)</f>
        <v>52</v>
      </c>
      <c r="E15" s="379">
        <f>IF(B15="","",B15-'Visit 4'!B15)</f>
        <v>35</v>
      </c>
      <c r="F15" s="392">
        <f>2+1.5+2+2.5+2+3+2+2+2+2+2.5+2+2+3+1+2+2.5+2.5+1+3+2+2</f>
        <v>46.5</v>
      </c>
      <c r="G15" s="392">
        <f t="shared" si="1"/>
        <v>1.3285714285714285</v>
      </c>
      <c r="H15" s="379">
        <f>IF('Visit 3'!E15="","",SUM('Visit 3'!E15,'Visit 4'!F15,F15))</f>
        <v>71.5</v>
      </c>
      <c r="I15" s="392">
        <f>IF(H15="","",H15/(B15-'Visit 2'!B15))</f>
        <v>1.375</v>
      </c>
      <c r="J15" s="534" t="s">
        <v>94</v>
      </c>
      <c r="K15" s="388">
        <v>21</v>
      </c>
      <c r="L15" s="388">
        <v>21</v>
      </c>
      <c r="M15" s="350">
        <v>25</v>
      </c>
      <c r="N15" s="350">
        <v>-1</v>
      </c>
      <c r="O15" s="350">
        <v>21</v>
      </c>
      <c r="P15" s="350">
        <v>40</v>
      </c>
      <c r="Q15" s="350">
        <v>-2</v>
      </c>
      <c r="R15" s="350">
        <v>21</v>
      </c>
      <c r="S15" s="350">
        <v>32</v>
      </c>
      <c r="T15" s="350">
        <v>0</v>
      </c>
      <c r="U15" s="350">
        <v>21</v>
      </c>
      <c r="V15" s="350">
        <v>32</v>
      </c>
      <c r="W15" s="350">
        <v>1</v>
      </c>
      <c r="X15" s="392">
        <f t="shared" si="2"/>
        <v>-0.05918124604762484</v>
      </c>
      <c r="Y15" s="392">
        <f t="shared" si="3"/>
        <v>0.1649387366082999</v>
      </c>
      <c r="Z15" s="392">
        <f t="shared" si="4"/>
        <v>0.028028723600243527</v>
      </c>
      <c r="AA15" s="392">
        <f t="shared" si="5"/>
        <v>0.008028723600243537</v>
      </c>
      <c r="AB15" s="381">
        <f t="shared" si="6"/>
        <v>17.45214246751499</v>
      </c>
      <c r="AC15" s="381">
        <f t="shared" si="7"/>
        <v>29.239418563818266</v>
      </c>
      <c r="AD15" s="381">
        <f t="shared" si="8"/>
        <v>21.333333333333332</v>
      </c>
      <c r="AE15" s="381">
        <f t="shared" si="9"/>
        <v>20.3731751684573</v>
      </c>
      <c r="AF15" s="513">
        <f t="shared" si="10"/>
        <v>5.235642740254497</v>
      </c>
      <c r="AG15" s="392">
        <f t="shared" si="11"/>
        <v>8.771825569145479</v>
      </c>
      <c r="AH15" s="392">
        <f t="shared" si="12"/>
        <v>6.4</v>
      </c>
      <c r="AI15" s="392">
        <f t="shared" si="13"/>
        <v>6.1119525505371906</v>
      </c>
      <c r="AJ15" s="381">
        <v>-2.5</v>
      </c>
      <c r="AK15" s="381">
        <v>0</v>
      </c>
      <c r="AL15" s="392">
        <v>4.5</v>
      </c>
      <c r="AM15" s="392">
        <v>4</v>
      </c>
      <c r="AN15" s="392">
        <v>3</v>
      </c>
      <c r="AO15" s="392">
        <v>4</v>
      </c>
      <c r="AP15" s="384">
        <f t="shared" si="14"/>
        <v>8.5</v>
      </c>
      <c r="AQ15" s="392">
        <v>4.5</v>
      </c>
      <c r="AR15" s="392">
        <v>17</v>
      </c>
      <c r="AS15" s="392">
        <v>0</v>
      </c>
      <c r="AT15" s="392">
        <v>10.5</v>
      </c>
      <c r="AU15" s="392">
        <v>4</v>
      </c>
      <c r="AV15" s="392">
        <v>0</v>
      </c>
      <c r="AW15" s="515">
        <f t="shared" si="0"/>
        <v>27.5</v>
      </c>
      <c r="AZ15" s="448"/>
      <c r="BA15" s="448"/>
    </row>
    <row r="16" spans="1:53" s="389" customFormat="1" ht="11.25" thickBot="1">
      <c r="A16" s="393">
        <f>Demography!A15</f>
        <v>12</v>
      </c>
      <c r="B16" s="516">
        <v>37243</v>
      </c>
      <c r="C16" s="395">
        <f>IF(B16="","",B16-'Visit 1'!B16)</f>
        <v>173</v>
      </c>
      <c r="D16" s="395">
        <f>IF(B16="","",B16-'Visit 2'!B16)</f>
        <v>117</v>
      </c>
      <c r="E16" s="395">
        <f>IF(B16="","",B16-'Visit 4'!B16)</f>
        <v>100</v>
      </c>
      <c r="F16" s="402"/>
      <c r="G16" s="357"/>
      <c r="H16" s="357"/>
      <c r="I16" s="357"/>
      <c r="J16" s="536" t="s">
        <v>78</v>
      </c>
      <c r="K16" s="362"/>
      <c r="L16" s="362"/>
      <c r="M16" s="362"/>
      <c r="N16" s="362"/>
      <c r="O16" s="362"/>
      <c r="P16" s="362"/>
      <c r="Q16" s="362"/>
      <c r="R16" s="362"/>
      <c r="S16" s="362"/>
      <c r="T16" s="362"/>
      <c r="U16" s="362"/>
      <c r="V16" s="362"/>
      <c r="W16" s="350"/>
      <c r="X16" s="350"/>
      <c r="Y16" s="350"/>
      <c r="Z16" s="350"/>
      <c r="AA16" s="350"/>
      <c r="AB16" s="362"/>
      <c r="AC16" s="362"/>
      <c r="AD16" s="362"/>
      <c r="AE16" s="362"/>
      <c r="AF16" s="362"/>
      <c r="AG16" s="362"/>
      <c r="AH16" s="362"/>
      <c r="AI16" s="362"/>
      <c r="AJ16" s="362"/>
      <c r="AK16" s="362"/>
      <c r="AL16" s="362"/>
      <c r="AM16" s="362"/>
      <c r="AN16" s="362"/>
      <c r="AO16" s="362"/>
      <c r="AP16" s="362"/>
      <c r="AQ16" s="362"/>
      <c r="AR16" s="362"/>
      <c r="AS16" s="362"/>
      <c r="AT16" s="362"/>
      <c r="AU16" s="362"/>
      <c r="AV16" s="362"/>
      <c r="AW16" s="364"/>
      <c r="AZ16" s="448"/>
      <c r="BA16" s="448"/>
    </row>
    <row r="17" spans="1:48" s="28" customFormat="1" ht="16.5" customHeight="1" thickBot="1">
      <c r="A17" s="302" t="s">
        <v>229</v>
      </c>
      <c r="B17" s="302"/>
      <c r="C17" s="302"/>
      <c r="D17" s="302"/>
      <c r="E17" s="302"/>
      <c r="F17" s="302"/>
      <c r="G17" s="201"/>
      <c r="H17" s="201"/>
      <c r="I17" s="200"/>
      <c r="L17" s="61"/>
      <c r="W17" s="303" t="s">
        <v>235</v>
      </c>
      <c r="X17" s="304"/>
      <c r="Y17" s="304"/>
      <c r="Z17" s="304"/>
      <c r="AA17" s="304"/>
      <c r="AB17" s="305"/>
      <c r="AC17" s="60"/>
      <c r="AD17" s="60"/>
      <c r="AE17" s="60"/>
      <c r="AF17" s="60"/>
      <c r="AG17" s="60"/>
      <c r="AH17" s="60"/>
      <c r="AI17" s="60"/>
      <c r="AJ17" s="55"/>
      <c r="AK17" s="55"/>
      <c r="AL17" s="60"/>
      <c r="AM17" s="60"/>
      <c r="AN17" s="60"/>
      <c r="AO17" s="60"/>
      <c r="AQ17" s="60"/>
      <c r="AR17" s="60"/>
      <c r="AS17" s="60"/>
      <c r="AT17" s="60"/>
      <c r="AU17" s="60"/>
      <c r="AV17" s="60"/>
    </row>
    <row r="18" spans="1:48" s="28" customFormat="1" ht="12.75" customHeight="1">
      <c r="A18" s="89"/>
      <c r="B18" s="325" t="s">
        <v>199</v>
      </c>
      <c r="C18" s="329"/>
      <c r="D18" s="326"/>
      <c r="E18" s="89"/>
      <c r="F18" s="124"/>
      <c r="G18" s="124"/>
      <c r="H18" s="124"/>
      <c r="I18" s="126"/>
      <c r="J18" s="325" t="s">
        <v>164</v>
      </c>
      <c r="K18" s="326"/>
      <c r="L18" s="61"/>
      <c r="W18" s="306"/>
      <c r="X18" s="307"/>
      <c r="Y18" s="307"/>
      <c r="Z18" s="307"/>
      <c r="AA18" s="307"/>
      <c r="AB18" s="308"/>
      <c r="AC18" s="60"/>
      <c r="AD18" s="60"/>
      <c r="AE18" s="60"/>
      <c r="AF18" s="60"/>
      <c r="AG18" s="60"/>
      <c r="AH18" s="60"/>
      <c r="AI18" s="60"/>
      <c r="AJ18" s="55"/>
      <c r="AK18" s="55"/>
      <c r="AL18"/>
      <c r="AM18"/>
      <c r="AN18"/>
      <c r="AO18"/>
      <c r="AP18"/>
      <c r="AQ18" s="60"/>
      <c r="AR18" s="60"/>
      <c r="AS18" s="60"/>
      <c r="AT18" s="60"/>
      <c r="AU18" s="60"/>
      <c r="AV18" s="60"/>
    </row>
    <row r="19" spans="2:53" s="11" customFormat="1" ht="15.75" customHeight="1" thickBot="1">
      <c r="B19" s="113"/>
      <c r="C19" s="206" t="s">
        <v>198</v>
      </c>
      <c r="D19" s="207" t="s">
        <v>197</v>
      </c>
      <c r="F19" s="54"/>
      <c r="G19" s="54"/>
      <c r="H19" s="54"/>
      <c r="I19" s="54"/>
      <c r="J19" s="70" t="s">
        <v>165</v>
      </c>
      <c r="K19" s="65">
        <f>COUNTIF(J5:J16,"yes")</f>
        <v>9</v>
      </c>
      <c r="L19" s="54"/>
      <c r="M19" s="6"/>
      <c r="N19" s="6"/>
      <c r="O19" s="6"/>
      <c r="P19" s="6"/>
      <c r="Q19" s="6"/>
      <c r="R19" s="6"/>
      <c r="S19" s="6"/>
      <c r="T19" s="6"/>
      <c r="U19" s="6"/>
      <c r="V19" s="32"/>
      <c r="W19" s="210" t="s">
        <v>230</v>
      </c>
      <c r="X19" s="211" t="s">
        <v>255</v>
      </c>
      <c r="Y19" s="212" t="s">
        <v>64</v>
      </c>
      <c r="Z19" s="213" t="s">
        <v>237</v>
      </c>
      <c r="AA19" s="214" t="s">
        <v>236</v>
      </c>
      <c r="AB19" s="209" t="s">
        <v>238</v>
      </c>
      <c r="AC19" s="60"/>
      <c r="AD19" s="60"/>
      <c r="AE19" s="60"/>
      <c r="AF19" s="60"/>
      <c r="AG19" s="60"/>
      <c r="AH19" s="60"/>
      <c r="AI19" s="60"/>
      <c r="AJ19" s="60"/>
      <c r="AK19" s="60"/>
      <c r="AL19"/>
      <c r="AM19"/>
      <c r="AN19"/>
      <c r="AO19"/>
      <c r="AP19"/>
      <c r="AQ19" s="60"/>
      <c r="AR19" s="60"/>
      <c r="AS19" s="60"/>
      <c r="AT19" s="60"/>
      <c r="AU19" s="60"/>
      <c r="AV19" s="60"/>
      <c r="AZ19" s="6"/>
      <c r="BA19" s="6"/>
    </row>
    <row r="20" spans="2:53" s="11" customFormat="1" ht="12" customHeight="1" thickBot="1">
      <c r="B20" s="46" t="s">
        <v>175</v>
      </c>
      <c r="C20" s="37">
        <f>AVERAGE(D5:D16)</f>
        <v>102.33333333333333</v>
      </c>
      <c r="D20" s="118">
        <f>C20/7</f>
        <v>14.619047619047619</v>
      </c>
      <c r="E20"/>
      <c r="J20" s="70" t="s">
        <v>154</v>
      </c>
      <c r="K20" s="65">
        <f>COUNTIF(J5:J16,"no")</f>
        <v>3</v>
      </c>
      <c r="L20" s="55"/>
      <c r="M20" s="6"/>
      <c r="N20" s="6"/>
      <c r="O20" s="6"/>
      <c r="P20" s="6"/>
      <c r="Q20" s="6"/>
      <c r="R20" s="6"/>
      <c r="S20" s="6"/>
      <c r="T20" s="6"/>
      <c r="U20" s="6"/>
      <c r="V20" s="6"/>
      <c r="W20" s="348">
        <v>1</v>
      </c>
      <c r="X20" s="386">
        <f>'Visit 2'!U5</f>
        <v>0</v>
      </c>
      <c r="Y20" s="549">
        <f>AA5</f>
        <v>0.12493873660829993</v>
      </c>
      <c r="Z20" s="550">
        <f>ABS(X20)-ABS(Y20)</f>
        <v>-0.12493873660829993</v>
      </c>
      <c r="AA20" s="551" t="str">
        <f>IF(ABS(X20)-ABS(Y20)&lt;-0.1,"yes","no")</f>
        <v>yes</v>
      </c>
      <c r="AB20" s="354" t="str">
        <f>IF(ABS(X20)-ABS(Y20)&gt;0.1,"yes","no")</f>
        <v>no</v>
      </c>
      <c r="AC20" s="105"/>
      <c r="AD20" s="105"/>
      <c r="AE20" s="105"/>
      <c r="AF20" s="105"/>
      <c r="AG20" s="105"/>
      <c r="AH20" s="105"/>
      <c r="AI20" s="105"/>
      <c r="AJ20" s="105"/>
      <c r="AK20" s="105"/>
      <c r="AL20"/>
      <c r="AM20"/>
      <c r="AN20"/>
      <c r="AO20"/>
      <c r="AP20"/>
      <c r="AQ20"/>
      <c r="AR20"/>
      <c r="AS20"/>
      <c r="AT20" s="60"/>
      <c r="AU20" s="60"/>
      <c r="AV20" s="60"/>
      <c r="AW20" s="43"/>
      <c r="AZ20" s="32"/>
      <c r="BA20" s="32"/>
    </row>
    <row r="21" spans="1:53" s="11" customFormat="1" ht="13.5" customHeight="1" thickBot="1">
      <c r="A21" s="89"/>
      <c r="B21" s="46" t="s">
        <v>174</v>
      </c>
      <c r="C21" s="72">
        <f>STDEV(D5:D16)</f>
        <v>108.02216383126141</v>
      </c>
      <c r="D21" s="118">
        <f>C21/7</f>
        <v>15.431737690180201</v>
      </c>
      <c r="E21"/>
      <c r="J21" s="127" t="s">
        <v>205</v>
      </c>
      <c r="K21" s="128">
        <f>SUM(K19:K20)</f>
        <v>12</v>
      </c>
      <c r="L21" s="54"/>
      <c r="M21" s="6"/>
      <c r="N21" s="6"/>
      <c r="O21" s="6"/>
      <c r="P21" s="6"/>
      <c r="Q21" s="6"/>
      <c r="R21" s="6"/>
      <c r="S21" s="6"/>
      <c r="T21" s="6"/>
      <c r="U21" s="6"/>
      <c r="V21" s="6"/>
      <c r="W21" s="348">
        <v>2</v>
      </c>
      <c r="X21" s="552" t="str">
        <f>'Visit 2'!U6</f>
        <v>not done</v>
      </c>
      <c r="Y21" s="549">
        <f aca="true" t="shared" si="15" ref="Y21:Y30">AA6</f>
        <v>0.20184874961635632</v>
      </c>
      <c r="Z21" s="549"/>
      <c r="AA21" s="353"/>
      <c r="AB21" s="354"/>
      <c r="AC21" s="105"/>
      <c r="AD21" s="105"/>
      <c r="AE21" s="105"/>
      <c r="AF21" s="105"/>
      <c r="AG21" s="105"/>
      <c r="AH21" s="105"/>
      <c r="AI21" s="105"/>
      <c r="AJ21" s="105"/>
      <c r="AK21" s="105"/>
      <c r="AL21"/>
      <c r="AM21"/>
      <c r="AN21"/>
      <c r="AO21"/>
      <c r="AP21"/>
      <c r="AQ21"/>
      <c r="AR21"/>
      <c r="AS21"/>
      <c r="AT21" s="30"/>
      <c r="AU21" s="30"/>
      <c r="AV21" s="30"/>
      <c r="AW21" s="43"/>
      <c r="AZ21" s="6"/>
      <c r="BA21" s="6"/>
    </row>
    <row r="22" spans="1:53" s="11" customFormat="1" ht="10.5" customHeight="1" thickBot="1">
      <c r="A22" s="89"/>
      <c r="B22" s="158" t="s">
        <v>120</v>
      </c>
      <c r="C22" s="159">
        <f>MEDIAN(D5:D16)</f>
        <v>56.5</v>
      </c>
      <c r="D22" s="160">
        <f>C22/7</f>
        <v>8.071428571428571</v>
      </c>
      <c r="E22"/>
      <c r="F22" s="53"/>
      <c r="G22" s="53"/>
      <c r="H22" s="53"/>
      <c r="I22" s="53"/>
      <c r="J22" s="6"/>
      <c r="K22" s="6"/>
      <c r="L22" s="6"/>
      <c r="M22" s="6"/>
      <c r="N22" s="6"/>
      <c r="O22" s="6"/>
      <c r="P22" s="6"/>
      <c r="Q22" s="6"/>
      <c r="R22" s="6"/>
      <c r="S22" s="6"/>
      <c r="T22" s="6"/>
      <c r="U22" s="6"/>
      <c r="V22" s="6"/>
      <c r="W22" s="348">
        <v>3</v>
      </c>
      <c r="X22" s="386">
        <f>'Visit 2'!U7</f>
        <v>0</v>
      </c>
      <c r="Y22" s="549">
        <f t="shared" si="15"/>
        <v>0.14493873660829995</v>
      </c>
      <c r="Z22" s="550">
        <f aca="true" t="shared" si="16" ref="Z22:Z30">ABS(X22)-ABS(Y22)</f>
        <v>-0.14493873660829995</v>
      </c>
      <c r="AA22" s="551" t="str">
        <f aca="true" t="shared" si="17" ref="AA22:AA28">IF(ABS(X22)-ABS(Y22)&lt;-0.1,"yes","no")</f>
        <v>yes</v>
      </c>
      <c r="AB22" s="354" t="str">
        <f aca="true" t="shared" si="18" ref="AB22:AB28">IF(ABS(X22)-ABS(Y22)&gt;0.1,"yes","no")</f>
        <v>no</v>
      </c>
      <c r="AC22" s="105"/>
      <c r="AD22" s="105"/>
      <c r="AE22" s="105"/>
      <c r="AF22" s="105"/>
      <c r="AG22" s="105"/>
      <c r="AH22" s="105"/>
      <c r="AI22" s="105"/>
      <c r="AJ22" s="105"/>
      <c r="AK22" s="105"/>
      <c r="AL22"/>
      <c r="AM22"/>
      <c r="AN22"/>
      <c r="AO22"/>
      <c r="AP22"/>
      <c r="AQ22"/>
      <c r="AR22"/>
      <c r="AS22"/>
      <c r="AT22" s="30"/>
      <c r="AU22" s="30"/>
      <c r="AV22" s="30"/>
      <c r="AW22" s="6"/>
      <c r="AX22" s="6"/>
      <c r="AY22" s="6"/>
      <c r="AZ22" s="6"/>
      <c r="BA22" s="6"/>
    </row>
    <row r="23" spans="1:53" s="11" customFormat="1" ht="11.25" thickBot="1">
      <c r="A23" s="89"/>
      <c r="B23" s="161" t="s">
        <v>118</v>
      </c>
      <c r="C23" s="72">
        <f>MIN(D5:D16)</f>
        <v>42</v>
      </c>
      <c r="D23" s="162">
        <f>C23/7</f>
        <v>6</v>
      </c>
      <c r="E23"/>
      <c r="F23" s="51"/>
      <c r="G23" s="51"/>
      <c r="H23" s="51"/>
      <c r="I23" s="51"/>
      <c r="J23" s="6"/>
      <c r="K23" s="6"/>
      <c r="L23" s="6"/>
      <c r="M23" s="6"/>
      <c r="N23" s="6"/>
      <c r="O23" s="6"/>
      <c r="P23" s="6"/>
      <c r="Q23" s="6"/>
      <c r="R23" s="6"/>
      <c r="S23" s="6"/>
      <c r="T23" s="6"/>
      <c r="U23" s="6"/>
      <c r="V23" s="6"/>
      <c r="W23" s="348">
        <v>4</v>
      </c>
      <c r="X23" s="386">
        <f>'Visit 2'!U8</f>
        <v>0.02</v>
      </c>
      <c r="Y23" s="549">
        <f t="shared" si="15"/>
        <v>-0.020000000000000018</v>
      </c>
      <c r="Z23" s="549">
        <f t="shared" si="16"/>
        <v>0</v>
      </c>
      <c r="AA23" s="353" t="str">
        <f t="shared" si="17"/>
        <v>no</v>
      </c>
      <c r="AB23" s="553" t="str">
        <f t="shared" si="18"/>
        <v>no</v>
      </c>
      <c r="AC23" s="30"/>
      <c r="AD23" s="30"/>
      <c r="AE23" s="30"/>
      <c r="AF23" s="30"/>
      <c r="AG23" s="30"/>
      <c r="AH23" s="30"/>
      <c r="AI23" s="30"/>
      <c r="AJ23" s="30"/>
      <c r="AK23" s="30"/>
      <c r="AL23"/>
      <c r="AM23"/>
      <c r="AN23"/>
      <c r="AO23"/>
      <c r="AP23"/>
      <c r="AQ23"/>
      <c r="AR23"/>
      <c r="AS23"/>
      <c r="AT23" s="30"/>
      <c r="AU23" s="30"/>
      <c r="AV23" s="30"/>
      <c r="AW23" s="23"/>
      <c r="AX23" s="6"/>
      <c r="AY23" s="6"/>
      <c r="AZ23" s="6"/>
      <c r="BA23" s="6"/>
    </row>
    <row r="24" spans="1:53" s="11" customFormat="1" ht="11.25" thickBot="1">
      <c r="A24" s="89"/>
      <c r="B24" s="163" t="s">
        <v>119</v>
      </c>
      <c r="C24" s="164">
        <f>MAX(D5:D16)</f>
        <v>423</v>
      </c>
      <c r="D24" s="165">
        <f>C24/7</f>
        <v>60.42857142857143</v>
      </c>
      <c r="E24"/>
      <c r="F24" s="51"/>
      <c r="G24" s="51"/>
      <c r="H24" s="51"/>
      <c r="I24" s="51"/>
      <c r="J24" s="6"/>
      <c r="K24" s="6"/>
      <c r="L24" s="6"/>
      <c r="M24" s="6"/>
      <c r="N24" s="6"/>
      <c r="O24" s="6"/>
      <c r="P24" s="6"/>
      <c r="Q24" s="6"/>
      <c r="R24" s="6"/>
      <c r="S24" s="6"/>
      <c r="T24" s="6"/>
      <c r="U24" s="6"/>
      <c r="V24" s="6"/>
      <c r="W24" s="348">
        <v>5</v>
      </c>
      <c r="X24" s="386">
        <f>'Visit 2'!U9</f>
        <v>0.4059687322722812</v>
      </c>
      <c r="Y24" s="549">
        <f t="shared" si="15"/>
        <v>0.2618487496163563</v>
      </c>
      <c r="Z24" s="554">
        <f t="shared" si="16"/>
        <v>0.1441199826559249</v>
      </c>
      <c r="AA24" s="353" t="str">
        <f t="shared" si="17"/>
        <v>no</v>
      </c>
      <c r="AB24" s="555" t="str">
        <f t="shared" si="18"/>
        <v>yes</v>
      </c>
      <c r="AC24" s="30"/>
      <c r="AD24" s="30"/>
      <c r="AE24" s="30"/>
      <c r="AF24" s="30"/>
      <c r="AG24" s="30"/>
      <c r="AH24" s="30"/>
      <c r="AI24" s="30"/>
      <c r="AJ24" s="30"/>
      <c r="AK24" s="30"/>
      <c r="AL24"/>
      <c r="AM24"/>
      <c r="AN24"/>
      <c r="AO24"/>
      <c r="AP24"/>
      <c r="AQ24"/>
      <c r="AR24"/>
      <c r="AS24"/>
      <c r="AT24" s="30"/>
      <c r="AU24" s="30"/>
      <c r="AV24" s="30"/>
      <c r="AW24" s="23"/>
      <c r="AX24" s="6"/>
      <c r="AY24" s="6"/>
      <c r="AZ24" s="6"/>
      <c r="BA24" s="6"/>
    </row>
    <row r="25" spans="1:53" s="11" customFormat="1" ht="11.25" customHeight="1">
      <c r="A25" s="98"/>
      <c r="B25"/>
      <c r="C25"/>
      <c r="D25"/>
      <c r="E25"/>
      <c r="F25" s="51"/>
      <c r="G25" s="51"/>
      <c r="H25" s="51"/>
      <c r="I25" s="51"/>
      <c r="J25" s="6"/>
      <c r="K25" s="6"/>
      <c r="L25" s="6"/>
      <c r="M25" s="6"/>
      <c r="N25" s="6"/>
      <c r="O25" s="6"/>
      <c r="P25" s="6"/>
      <c r="Q25" s="6"/>
      <c r="R25" s="6"/>
      <c r="S25" s="6"/>
      <c r="T25" s="6"/>
      <c r="U25" s="6"/>
      <c r="V25" s="6"/>
      <c r="W25" s="348">
        <v>6</v>
      </c>
      <c r="X25" s="386">
        <f>'Visit 2'!U10</f>
        <v>0.3479767852945943</v>
      </c>
      <c r="Y25" s="549">
        <f t="shared" si="15"/>
        <v>0.4459687322722812</v>
      </c>
      <c r="Z25" s="549">
        <f t="shared" si="16"/>
        <v>-0.09799194697768687</v>
      </c>
      <c r="AA25" s="353" t="str">
        <f t="shared" si="17"/>
        <v>no</v>
      </c>
      <c r="AB25" s="354" t="str">
        <f t="shared" si="18"/>
        <v>no</v>
      </c>
      <c r="AL25"/>
      <c r="AM25"/>
      <c r="AN25"/>
      <c r="AO25"/>
      <c r="AP25"/>
      <c r="AQ25"/>
      <c r="AR25"/>
      <c r="AS25"/>
      <c r="AT25" s="6"/>
      <c r="AU25" s="6"/>
      <c r="AV25" s="6"/>
      <c r="AW25" s="6"/>
      <c r="AX25" s="6"/>
      <c r="AY25" s="6"/>
      <c r="AZ25" s="6"/>
      <c r="BA25" s="6"/>
    </row>
    <row r="26" spans="1:45" ht="10.5">
      <c r="A26" s="11">
        <f>IF(Demography!A19="","",Demography!A19)</f>
      </c>
      <c r="B26"/>
      <c r="C26"/>
      <c r="D26"/>
      <c r="E26"/>
      <c r="F26" s="51"/>
      <c r="G26" s="51"/>
      <c r="H26" s="51"/>
      <c r="I26" s="51"/>
      <c r="W26" s="348">
        <v>7</v>
      </c>
      <c r="X26" s="386">
        <f>'Visit 2'!U11</f>
        <v>0.4659687322722812</v>
      </c>
      <c r="Y26" s="549">
        <f t="shared" si="15"/>
        <v>0.5028787452803376</v>
      </c>
      <c r="Z26" s="549">
        <f t="shared" si="16"/>
        <v>-0.03691001300805641</v>
      </c>
      <c r="AA26" s="353" t="str">
        <f t="shared" si="17"/>
        <v>no</v>
      </c>
      <c r="AB26" s="354" t="str">
        <f t="shared" si="18"/>
        <v>no</v>
      </c>
      <c r="AL26"/>
      <c r="AM26"/>
      <c r="AN26"/>
      <c r="AO26"/>
      <c r="AP26"/>
      <c r="AQ26"/>
      <c r="AR26"/>
      <c r="AS26"/>
    </row>
    <row r="27" spans="1:49" ht="10.5">
      <c r="A27" s="11">
        <f>IF(Demography!A20="","",Demography!A20)</f>
      </c>
      <c r="B27"/>
      <c r="C27"/>
      <c r="D27"/>
      <c r="E27"/>
      <c r="W27" s="348">
        <v>8</v>
      </c>
      <c r="X27" s="386">
        <f>'Visit 2'!U12</f>
        <v>0.4079767852945943</v>
      </c>
      <c r="Y27" s="549">
        <f t="shared" si="15"/>
        <v>0.40596873227228114</v>
      </c>
      <c r="Z27" s="549">
        <f t="shared" si="16"/>
        <v>0.002008053022313161</v>
      </c>
      <c r="AA27" s="353" t="str">
        <f t="shared" si="17"/>
        <v>no</v>
      </c>
      <c r="AB27" s="354" t="str">
        <f t="shared" si="18"/>
        <v>no</v>
      </c>
      <c r="AC27" s="27"/>
      <c r="AD27" s="27"/>
      <c r="AE27" s="27"/>
      <c r="AF27" s="27"/>
      <c r="AG27" s="27"/>
      <c r="AH27" s="27"/>
      <c r="AI27" s="27"/>
      <c r="AJ27" s="27"/>
      <c r="AK27" s="27"/>
      <c r="AL27"/>
      <c r="AM27"/>
      <c r="AN27"/>
      <c r="AO27"/>
      <c r="AP27"/>
      <c r="AQ27"/>
      <c r="AR27"/>
      <c r="AS27"/>
      <c r="AT27" s="27"/>
      <c r="AU27" s="27"/>
      <c r="AV27" s="27"/>
      <c r="AW27" s="27"/>
    </row>
    <row r="28" spans="2:49" ht="10.5">
      <c r="B28"/>
      <c r="C28"/>
      <c r="D28"/>
      <c r="E28"/>
      <c r="W28" s="348">
        <v>9</v>
      </c>
      <c r="X28" s="386">
        <f>'Visit 2'!U13</f>
        <v>0.4059687322722812</v>
      </c>
      <c r="Y28" s="549">
        <f t="shared" si="15"/>
        <v>0.42596873227228116</v>
      </c>
      <c r="Z28" s="549">
        <f t="shared" si="16"/>
        <v>-0.019999999999999962</v>
      </c>
      <c r="AA28" s="353" t="str">
        <f t="shared" si="17"/>
        <v>no</v>
      </c>
      <c r="AB28" s="354" t="str">
        <f t="shared" si="18"/>
        <v>no</v>
      </c>
      <c r="AC28" s="27"/>
      <c r="AD28" s="27"/>
      <c r="AE28" s="27"/>
      <c r="AF28" s="27"/>
      <c r="AG28" s="27"/>
      <c r="AH28" s="27"/>
      <c r="AI28" s="27"/>
      <c r="AJ28" s="27"/>
      <c r="AK28" s="27"/>
      <c r="AL28"/>
      <c r="AM28"/>
      <c r="AN28"/>
      <c r="AO28"/>
      <c r="AP28"/>
      <c r="AQ28"/>
      <c r="AR28"/>
      <c r="AS28"/>
      <c r="AT28" s="27"/>
      <c r="AU28" s="27"/>
      <c r="AV28" s="27"/>
      <c r="AW28" s="27"/>
    </row>
    <row r="29" spans="5:45" ht="11.25" thickBot="1">
      <c r="E29" s="157"/>
      <c r="W29" s="348">
        <v>10</v>
      </c>
      <c r="X29" s="386">
        <f>'Visit 2'!U14</f>
        <v>0.7189700043360189</v>
      </c>
      <c r="Y29" s="392" t="s">
        <v>84</v>
      </c>
      <c r="Z29" s="549"/>
      <c r="AA29" s="353"/>
      <c r="AB29" s="354"/>
      <c r="AL29"/>
      <c r="AM29"/>
      <c r="AN29"/>
      <c r="AO29"/>
      <c r="AP29"/>
      <c r="AQ29"/>
      <c r="AR29"/>
      <c r="AS29"/>
    </row>
    <row r="30" spans="5:45" ht="11.25" thickBot="1">
      <c r="E30"/>
      <c r="W30" s="348">
        <v>11</v>
      </c>
      <c r="X30" s="386">
        <f>'Visit 2'!U15</f>
        <v>0.11691001300805642</v>
      </c>
      <c r="Y30" s="549">
        <f t="shared" si="15"/>
        <v>0.008028723600243537</v>
      </c>
      <c r="Z30" s="554">
        <f t="shared" si="16"/>
        <v>0.10888128940781289</v>
      </c>
      <c r="AA30" s="353" t="str">
        <f>IF(ABS(X30)-ABS(Y30)&lt;-0.1,"yes","no")</f>
        <v>no</v>
      </c>
      <c r="AB30" s="555" t="str">
        <f>IF(ABS(X30)-ABS(Y30)&gt;0.1,"yes","no")</f>
        <v>yes</v>
      </c>
      <c r="AD30" s="32"/>
      <c r="AL30"/>
      <c r="AM30"/>
      <c r="AN30"/>
      <c r="AO30"/>
      <c r="AP30"/>
      <c r="AQ30"/>
      <c r="AR30"/>
      <c r="AS30"/>
    </row>
    <row r="31" spans="5:45" ht="11.25" thickBot="1">
      <c r="E31"/>
      <c r="W31" s="355">
        <v>12</v>
      </c>
      <c r="X31" s="401">
        <f>'Visit 2'!U16</f>
        <v>0.16411998265592478</v>
      </c>
      <c r="Y31" s="402" t="s">
        <v>84</v>
      </c>
      <c r="Z31" s="556"/>
      <c r="AA31" s="357"/>
      <c r="AB31" s="358"/>
      <c r="AL31"/>
      <c r="AM31"/>
      <c r="AN31"/>
      <c r="AO31"/>
      <c r="AP31"/>
      <c r="AQ31"/>
      <c r="AR31"/>
      <c r="AS31"/>
    </row>
    <row r="32" spans="5:45" ht="10.5">
      <c r="E32"/>
      <c r="X32" s="27"/>
      <c r="AL32"/>
      <c r="AM32"/>
      <c r="AN32"/>
      <c r="AO32"/>
      <c r="AP32"/>
      <c r="AQ32"/>
      <c r="AR32"/>
      <c r="AS32"/>
    </row>
    <row r="33" spans="5:45" ht="10.5">
      <c r="E33"/>
      <c r="X33" s="27"/>
      <c r="AL33"/>
      <c r="AM33"/>
      <c r="AN33"/>
      <c r="AO33"/>
      <c r="AP33"/>
      <c r="AQ33"/>
      <c r="AR33"/>
      <c r="AS33"/>
    </row>
    <row r="34" spans="43:45" ht="10.5">
      <c r="AQ34"/>
      <c r="AR34"/>
      <c r="AS34"/>
    </row>
    <row r="35" spans="43:45" ht="10.5">
      <c r="AQ35"/>
      <c r="AR35"/>
      <c r="AS35"/>
    </row>
    <row r="36" spans="1:45" ht="10.5">
      <c r="A36" s="11"/>
      <c r="C36" s="23"/>
      <c r="D36" s="23"/>
      <c r="AQ36"/>
      <c r="AR36"/>
      <c r="AS36"/>
    </row>
    <row r="37" spans="1:45" ht="10.5">
      <c r="A37" s="11"/>
      <c r="C37" s="23"/>
      <c r="D37" s="23"/>
      <c r="AQ37"/>
      <c r="AR37"/>
      <c r="AS37"/>
    </row>
    <row r="38" spans="3:4" ht="10.5">
      <c r="C38" s="23"/>
      <c r="D38" s="23"/>
    </row>
    <row r="39" spans="1:4" ht="10.5">
      <c r="A39" s="11"/>
      <c r="C39" s="23"/>
      <c r="D39" s="23"/>
    </row>
    <row r="40" spans="1:4" ht="10.5">
      <c r="A40" s="11"/>
      <c r="C40" s="23"/>
      <c r="D40" s="23"/>
    </row>
  </sheetData>
  <mergeCells count="67">
    <mergeCell ref="AE2:AE4"/>
    <mergeCell ref="AC3:AC4"/>
    <mergeCell ref="AD3:AD4"/>
    <mergeCell ref="B18:D18"/>
    <mergeCell ref="K1:K4"/>
    <mergeCell ref="L1:W1"/>
    <mergeCell ref="J18:K18"/>
    <mergeCell ref="J1:J4"/>
    <mergeCell ref="U3:U4"/>
    <mergeCell ref="V3:V4"/>
    <mergeCell ref="W3:W4"/>
    <mergeCell ref="N3:N4"/>
    <mergeCell ref="O2:T2"/>
    <mergeCell ref="X1:AA1"/>
    <mergeCell ref="X2:X4"/>
    <mergeCell ref="Y2:Z2"/>
    <mergeCell ref="AA2:AA4"/>
    <mergeCell ref="Y3:Y4"/>
    <mergeCell ref="Z3:Z4"/>
    <mergeCell ref="AQ2:AW2"/>
    <mergeCell ref="O3:O4"/>
    <mergeCell ref="P3:P4"/>
    <mergeCell ref="Q3:Q4"/>
    <mergeCell ref="R3:R4"/>
    <mergeCell ref="AQ3:AS3"/>
    <mergeCell ref="AW3:AW4"/>
    <mergeCell ref="AT3:AV3"/>
    <mergeCell ref="AB2:AB4"/>
    <mergeCell ref="AC2:AD2"/>
    <mergeCell ref="B1:I1"/>
    <mergeCell ref="F3:F4"/>
    <mergeCell ref="G3:G4"/>
    <mergeCell ref="H3:H4"/>
    <mergeCell ref="I3:I4"/>
    <mergeCell ref="B2:E2"/>
    <mergeCell ref="B3:B4"/>
    <mergeCell ref="C3:C4"/>
    <mergeCell ref="AL1:AW1"/>
    <mergeCell ref="AL2:AP2"/>
    <mergeCell ref="L2:N2"/>
    <mergeCell ref="U2:W2"/>
    <mergeCell ref="AJ1:AK1"/>
    <mergeCell ref="AJ2:AJ4"/>
    <mergeCell ref="AK2:AK4"/>
    <mergeCell ref="AB1:AE1"/>
    <mergeCell ref="T3:T4"/>
    <mergeCell ref="AP3:AP4"/>
    <mergeCell ref="AL6:AO6"/>
    <mergeCell ref="S5:T5"/>
    <mergeCell ref="A3:A4"/>
    <mergeCell ref="AL3:AM3"/>
    <mergeCell ref="AN3:AO3"/>
    <mergeCell ref="D3:D4"/>
    <mergeCell ref="E3:E4"/>
    <mergeCell ref="L3:L4"/>
    <mergeCell ref="M3:M4"/>
    <mergeCell ref="S3:S4"/>
    <mergeCell ref="A17:F17"/>
    <mergeCell ref="W17:AB18"/>
    <mergeCell ref="AF1:AI1"/>
    <mergeCell ref="AF2:AF4"/>
    <mergeCell ref="AG2:AH2"/>
    <mergeCell ref="AI2:AI4"/>
    <mergeCell ref="AG3:AG4"/>
    <mergeCell ref="AH3:AH4"/>
    <mergeCell ref="A1:A2"/>
    <mergeCell ref="F2:I2"/>
  </mergeCells>
  <printOptions/>
  <pageMargins left="0.75" right="0.75" top="1" bottom="1" header="0.5" footer="0.5"/>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OptoVision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Giorgi</dc:creator>
  <cp:keywords/>
  <dc:description/>
  <cp:lastModifiedBy>Doris A</cp:lastModifiedBy>
  <cp:lastPrinted>2009-06-29T17:24:02Z</cp:lastPrinted>
  <dcterms:created xsi:type="dcterms:W3CDTF">2002-06-11T19:35:30Z</dcterms:created>
  <dcterms:modified xsi:type="dcterms:W3CDTF">2009-10-29T17:05:46Z</dcterms:modified>
  <cp:category/>
  <cp:version/>
  <cp:contentType/>
  <cp:contentStatus/>
</cp:coreProperties>
</file>